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600" windowHeight="11760" firstSheet="10" activeTab="19"/>
  </bookViews>
  <sheets>
    <sheet name="Skovmusen" sheetId="1" r:id="rId1"/>
    <sheet name="Oksbøl bhv" sheetId="2" r:id="rId2"/>
    <sheet name="Billum" sheetId="3" r:id="rId3"/>
    <sheet name="Outrup" sheetId="4" r:id="rId4"/>
    <sheet name="Nr. Nebel" sheetId="5" r:id="rId5"/>
    <sheet name="Lunde" sheetId="6" r:id="rId6"/>
    <sheet name="Møllehuset" sheetId="7" r:id="rId7"/>
    <sheet name="Horne" sheetId="8" r:id="rId8"/>
    <sheet name="Ansager" sheetId="9" r:id="rId9"/>
    <sheet name="Starup" sheetId="10" r:id="rId10"/>
    <sheet name="Agerbæk" sheetId="11" r:id="rId11"/>
    <sheet name="Årre" sheetId="12" r:id="rId12"/>
    <sheet name="Ølgod" sheetId="13" r:id="rId13"/>
    <sheet name="Svalereden" sheetId="14" r:id="rId14"/>
    <sheet name="Børnehave før tid 2013" sheetId="15" r:id="rId15"/>
    <sheet name="OKSBØL BY" sheetId="16" r:id="rId16"/>
    <sheet name="Billum 230315" sheetId="17" r:id="rId17"/>
    <sheet name="Oksbøl bhv 280514" sheetId="18" r:id="rId18"/>
    <sheet name="Ansager 130614" sheetId="19" r:id="rId19"/>
    <sheet name="LUNDE KVONG bhv 090415" sheetId="20" r:id="rId20"/>
    <sheet name="Oksøbl bhv" sheetId="21" r:id="rId21"/>
    <sheet name="Horne bhv 160915" sheetId="22" r:id="rId22"/>
    <sheet name="Horne bhv 121114" sheetId="23" r:id="rId23"/>
    <sheet name="Ølgod bhv 121114" sheetId="24" r:id="rId24"/>
    <sheet name="Billum bhv 08.01.15" sheetId="25" r:id="rId25"/>
    <sheet name="Ark1" sheetId="26" r:id="rId26"/>
  </sheets>
  <calcPr calcId="145621"/>
</workbook>
</file>

<file path=xl/calcChain.xml><?xml version="1.0" encoding="utf-8"?>
<calcChain xmlns="http://schemas.openxmlformats.org/spreadsheetml/2006/main">
  <c r="B87" i="20" l="1"/>
  <c r="B77" i="20"/>
  <c r="N77" i="20" s="1"/>
  <c r="B66" i="20"/>
  <c r="N92" i="20"/>
  <c r="M91" i="20"/>
  <c r="L91" i="20"/>
  <c r="K91" i="20"/>
  <c r="J91" i="20"/>
  <c r="I91" i="20"/>
  <c r="H91" i="20"/>
  <c r="G91" i="20"/>
  <c r="F91" i="20"/>
  <c r="E91" i="20"/>
  <c r="D91" i="20"/>
  <c r="C91" i="20"/>
  <c r="N89" i="20"/>
  <c r="N88" i="20"/>
  <c r="N87" i="20"/>
  <c r="B41" i="20"/>
  <c r="N41" i="20" s="1"/>
  <c r="B28" i="20"/>
  <c r="B32" i="20" s="1"/>
  <c r="B29" i="20"/>
  <c r="B16" i="20"/>
  <c r="N46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N43" i="20"/>
  <c r="N42" i="20"/>
  <c r="I7" i="20"/>
  <c r="I10" i="20" s="1"/>
  <c r="I6" i="20"/>
  <c r="N6" i="20" s="1"/>
  <c r="N82" i="20"/>
  <c r="M81" i="20"/>
  <c r="L81" i="20"/>
  <c r="K81" i="20"/>
  <c r="J81" i="20"/>
  <c r="I81" i="20"/>
  <c r="H81" i="20"/>
  <c r="G81" i="20"/>
  <c r="F81" i="20"/>
  <c r="E81" i="20"/>
  <c r="D81" i="20"/>
  <c r="C81" i="20"/>
  <c r="N79" i="20"/>
  <c r="N78" i="20"/>
  <c r="N71" i="20"/>
  <c r="M70" i="20"/>
  <c r="L70" i="20"/>
  <c r="K70" i="20"/>
  <c r="J70" i="20"/>
  <c r="I70" i="20"/>
  <c r="H70" i="20"/>
  <c r="G70" i="20"/>
  <c r="F70" i="20"/>
  <c r="E70" i="20"/>
  <c r="D70" i="20"/>
  <c r="C70" i="20"/>
  <c r="N68" i="20"/>
  <c r="N67" i="20"/>
  <c r="N66" i="20"/>
  <c r="N61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N58" i="20"/>
  <c r="N57" i="20"/>
  <c r="N56" i="20"/>
  <c r="N33" i="20"/>
  <c r="M32" i="20"/>
  <c r="L32" i="20"/>
  <c r="K32" i="20"/>
  <c r="J32" i="20"/>
  <c r="I32" i="20"/>
  <c r="H32" i="20"/>
  <c r="G32" i="20"/>
  <c r="F32" i="20"/>
  <c r="E32" i="20"/>
  <c r="D32" i="20"/>
  <c r="C32" i="20"/>
  <c r="N30" i="20"/>
  <c r="N29" i="20"/>
  <c r="N21" i="20"/>
  <c r="M20" i="20"/>
  <c r="L20" i="20"/>
  <c r="K20" i="20"/>
  <c r="J20" i="20"/>
  <c r="I20" i="20"/>
  <c r="H20" i="20"/>
  <c r="G20" i="20"/>
  <c r="F20" i="20"/>
  <c r="E20" i="20"/>
  <c r="D20" i="20"/>
  <c r="C20" i="20"/>
  <c r="N18" i="20"/>
  <c r="N16" i="20"/>
  <c r="N11" i="20"/>
  <c r="M10" i="20"/>
  <c r="L10" i="20"/>
  <c r="K10" i="20"/>
  <c r="J10" i="20"/>
  <c r="H10" i="20"/>
  <c r="G10" i="20"/>
  <c r="F10" i="20"/>
  <c r="E10" i="20"/>
  <c r="D10" i="20"/>
  <c r="C10" i="20"/>
  <c r="B10" i="20"/>
  <c r="N8" i="20"/>
  <c r="B7" i="20"/>
  <c r="B6" i="20"/>
  <c r="M5" i="1"/>
  <c r="L5" i="1"/>
  <c r="K5" i="1"/>
  <c r="B81" i="20" l="1"/>
  <c r="N81" i="20" s="1"/>
  <c r="B91" i="20"/>
  <c r="N91" i="20" s="1"/>
  <c r="N60" i="20"/>
  <c r="B20" i="20"/>
  <c r="N20" i="20" s="1"/>
  <c r="N32" i="20"/>
  <c r="N45" i="20"/>
  <c r="N7" i="20"/>
  <c r="N10" i="20"/>
  <c r="N17" i="20"/>
  <c r="B70" i="20"/>
  <c r="N70" i="20" s="1"/>
  <c r="N28" i="20"/>
  <c r="N22" i="12"/>
  <c r="M21" i="12"/>
  <c r="L21" i="12"/>
  <c r="K21" i="12"/>
  <c r="J21" i="12"/>
  <c r="I21" i="12"/>
  <c r="H21" i="12"/>
  <c r="G21" i="12"/>
  <c r="F21" i="12"/>
  <c r="E21" i="12"/>
  <c r="D21" i="12"/>
  <c r="C21" i="12"/>
  <c r="N19" i="12"/>
  <c r="N18" i="12"/>
  <c r="N17" i="12"/>
  <c r="B21" i="12" l="1"/>
  <c r="N21" i="12" s="1"/>
  <c r="B40" i="17"/>
  <c r="N40" i="17"/>
  <c r="B29" i="17"/>
  <c r="B33" i="17" s="1"/>
  <c r="B18" i="17"/>
  <c r="N18" i="17" s="1"/>
  <c r="J7" i="17"/>
  <c r="J11" i="17" s="1"/>
  <c r="N45" i="17"/>
  <c r="M44" i="17"/>
  <c r="L44" i="17"/>
  <c r="K44" i="17"/>
  <c r="J44" i="17"/>
  <c r="I44" i="17"/>
  <c r="H44" i="17"/>
  <c r="G44" i="17"/>
  <c r="F44" i="17"/>
  <c r="E44" i="17"/>
  <c r="D44" i="17"/>
  <c r="C44" i="17"/>
  <c r="N42" i="17"/>
  <c r="N41" i="17"/>
  <c r="N34" i="17"/>
  <c r="M33" i="17"/>
  <c r="L33" i="17"/>
  <c r="K33" i="17"/>
  <c r="J33" i="17"/>
  <c r="I33" i="17"/>
  <c r="H33" i="17"/>
  <c r="G33" i="17"/>
  <c r="F33" i="17"/>
  <c r="E33" i="17"/>
  <c r="D33" i="17"/>
  <c r="C33" i="17"/>
  <c r="N31" i="17"/>
  <c r="N30" i="17"/>
  <c r="N29" i="17"/>
  <c r="N23" i="17"/>
  <c r="M22" i="17"/>
  <c r="L22" i="17"/>
  <c r="K22" i="17"/>
  <c r="J22" i="17"/>
  <c r="I22" i="17"/>
  <c r="H22" i="17"/>
  <c r="G22" i="17"/>
  <c r="F22" i="17"/>
  <c r="E22" i="17"/>
  <c r="D22" i="17"/>
  <c r="C22" i="17"/>
  <c r="N20" i="17"/>
  <c r="N19" i="17"/>
  <c r="N12" i="17"/>
  <c r="M11" i="17"/>
  <c r="L11" i="17"/>
  <c r="K11" i="17"/>
  <c r="I11" i="17"/>
  <c r="H11" i="17"/>
  <c r="G11" i="17"/>
  <c r="F11" i="17"/>
  <c r="E11" i="17"/>
  <c r="D11" i="17"/>
  <c r="C11" i="17"/>
  <c r="N9" i="17"/>
  <c r="N8" i="17"/>
  <c r="N7" i="17"/>
  <c r="B7" i="17"/>
  <c r="B11" i="17" s="1"/>
  <c r="N93" i="17"/>
  <c r="M92" i="17"/>
  <c r="L92" i="17"/>
  <c r="K92" i="17"/>
  <c r="J92" i="17"/>
  <c r="I92" i="17"/>
  <c r="H92" i="17"/>
  <c r="G92" i="17"/>
  <c r="F92" i="17"/>
  <c r="E92" i="17"/>
  <c r="D92" i="17"/>
  <c r="C92" i="17"/>
  <c r="N90" i="17"/>
  <c r="N89" i="17"/>
  <c r="B88" i="17"/>
  <c r="N88" i="17" s="1"/>
  <c r="N81" i="17"/>
  <c r="M80" i="17"/>
  <c r="L80" i="17"/>
  <c r="K80" i="17"/>
  <c r="J80" i="17"/>
  <c r="I80" i="17"/>
  <c r="H80" i="17"/>
  <c r="G80" i="17"/>
  <c r="F80" i="17"/>
  <c r="E80" i="17"/>
  <c r="D80" i="17"/>
  <c r="C80" i="17"/>
  <c r="N78" i="17"/>
  <c r="N77" i="17"/>
  <c r="B76" i="17"/>
  <c r="N76" i="17" s="1"/>
  <c r="N70" i="17"/>
  <c r="M69" i="17"/>
  <c r="L69" i="17"/>
  <c r="K69" i="17"/>
  <c r="J69" i="17"/>
  <c r="I69" i="17"/>
  <c r="H69" i="17"/>
  <c r="G69" i="17"/>
  <c r="F69" i="17"/>
  <c r="E69" i="17"/>
  <c r="D69" i="17"/>
  <c r="C69" i="17"/>
  <c r="N67" i="17"/>
  <c r="N66" i="17"/>
  <c r="B65" i="17"/>
  <c r="B69" i="17" s="1"/>
  <c r="N59" i="17"/>
  <c r="M58" i="17"/>
  <c r="L58" i="17"/>
  <c r="K58" i="17"/>
  <c r="J58" i="17"/>
  <c r="I58" i="17"/>
  <c r="H58" i="17"/>
  <c r="G58" i="17"/>
  <c r="F58" i="17"/>
  <c r="E58" i="17"/>
  <c r="D58" i="17"/>
  <c r="C58" i="17"/>
  <c r="N56" i="17"/>
  <c r="N55" i="17"/>
  <c r="B54" i="17"/>
  <c r="N54" i="17" s="1"/>
  <c r="N33" i="17" l="1"/>
  <c r="N11" i="17"/>
  <c r="B44" i="17"/>
  <c r="N44" i="17" s="1"/>
  <c r="B22" i="17"/>
  <c r="N22" i="17" s="1"/>
  <c r="N69" i="17"/>
  <c r="B92" i="17"/>
  <c r="N92" i="17" s="1"/>
  <c r="N65" i="17"/>
  <c r="B58" i="17"/>
  <c r="N58" i="17" s="1"/>
  <c r="B80" i="17"/>
  <c r="N80" i="17" s="1"/>
  <c r="B38" i="16"/>
  <c r="N38" i="16" s="1"/>
  <c r="B27" i="16"/>
  <c r="B16" i="16"/>
  <c r="N16" i="16" s="1"/>
  <c r="N43" i="16"/>
  <c r="M42" i="16"/>
  <c r="L42" i="16"/>
  <c r="K42" i="16"/>
  <c r="J42" i="16"/>
  <c r="I42" i="16"/>
  <c r="H42" i="16"/>
  <c r="G42" i="16"/>
  <c r="F42" i="16"/>
  <c r="E42" i="16"/>
  <c r="D42" i="16"/>
  <c r="C42" i="16"/>
  <c r="N40" i="16"/>
  <c r="N39" i="16"/>
  <c r="N32" i="16"/>
  <c r="M31" i="16"/>
  <c r="L31" i="16"/>
  <c r="K31" i="16"/>
  <c r="J31" i="16"/>
  <c r="I31" i="16"/>
  <c r="H31" i="16"/>
  <c r="G31" i="16"/>
  <c r="F31" i="16"/>
  <c r="E31" i="16"/>
  <c r="D31" i="16"/>
  <c r="C31" i="16"/>
  <c r="N29" i="16"/>
  <c r="N28" i="16"/>
  <c r="N27" i="16"/>
  <c r="N21" i="16"/>
  <c r="M20" i="16"/>
  <c r="L20" i="16"/>
  <c r="K20" i="16"/>
  <c r="J20" i="16"/>
  <c r="I20" i="16"/>
  <c r="H20" i="16"/>
  <c r="G20" i="16"/>
  <c r="F20" i="16"/>
  <c r="E20" i="16"/>
  <c r="D20" i="16"/>
  <c r="C20" i="16"/>
  <c r="N18" i="16"/>
  <c r="N17" i="16"/>
  <c r="N11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N8" i="16"/>
  <c r="N7" i="16"/>
  <c r="N6" i="16"/>
  <c r="B42" i="16" l="1"/>
  <c r="N42" i="16"/>
  <c r="N10" i="16"/>
  <c r="B20" i="16"/>
  <c r="N20" i="16" s="1"/>
  <c r="B31" i="16"/>
  <c r="N31" i="16" s="1"/>
  <c r="N32" i="3"/>
  <c r="M31" i="3"/>
  <c r="L31" i="3"/>
  <c r="K31" i="3"/>
  <c r="J31" i="3"/>
  <c r="I31" i="3"/>
  <c r="H31" i="3"/>
  <c r="G31" i="3"/>
  <c r="F31" i="3"/>
  <c r="E31" i="3"/>
  <c r="D31" i="3"/>
  <c r="C31" i="3"/>
  <c r="N29" i="3"/>
  <c r="N28" i="3"/>
  <c r="N27" i="3"/>
  <c r="B31" i="3" l="1"/>
  <c r="N31" i="3" s="1"/>
  <c r="I5" i="2"/>
  <c r="H5" i="2"/>
  <c r="B27" i="14" l="1"/>
  <c r="F5" i="14"/>
  <c r="E5" i="14"/>
  <c r="D5" i="14"/>
  <c r="C5" i="14"/>
  <c r="N32" i="14"/>
  <c r="M31" i="14"/>
  <c r="L31" i="14"/>
  <c r="K31" i="14"/>
  <c r="J31" i="14"/>
  <c r="I31" i="14"/>
  <c r="H31" i="14"/>
  <c r="G31" i="14"/>
  <c r="F31" i="14"/>
  <c r="E31" i="14"/>
  <c r="D31" i="14"/>
  <c r="C31" i="14"/>
  <c r="N29" i="14"/>
  <c r="N28" i="14"/>
  <c r="N27" i="14"/>
  <c r="M64" i="14"/>
  <c r="I64" i="14"/>
  <c r="H64" i="14"/>
  <c r="G64" i="14"/>
  <c r="F64" i="14"/>
  <c r="E64" i="14"/>
  <c r="D64" i="14"/>
  <c r="C64" i="14"/>
  <c r="B64" i="14"/>
  <c r="N62" i="14"/>
  <c r="N61" i="14"/>
  <c r="L60" i="14"/>
  <c r="L64" i="14" s="1"/>
  <c r="K60" i="14"/>
  <c r="K64" i="14" s="1"/>
  <c r="J60" i="14"/>
  <c r="J64" i="14" s="1"/>
  <c r="B31" i="14" l="1"/>
  <c r="N31" i="14" s="1"/>
  <c r="N64" i="14"/>
  <c r="N60" i="14"/>
  <c r="I13" i="5"/>
  <c r="M28" i="10" l="1"/>
  <c r="M32" i="10" s="1"/>
  <c r="L28" i="10"/>
  <c r="H28" i="10"/>
  <c r="H32" i="10" s="1"/>
  <c r="G28" i="10"/>
  <c r="F28" i="10"/>
  <c r="E28" i="10"/>
  <c r="D28" i="10"/>
  <c r="D32" i="10" s="1"/>
  <c r="C28" i="10"/>
  <c r="C32" i="10" s="1"/>
  <c r="B28" i="10"/>
  <c r="B32" i="10" s="1"/>
  <c r="L5" i="10"/>
  <c r="K5" i="10"/>
  <c r="J5" i="10"/>
  <c r="I5" i="10"/>
  <c r="H5" i="10"/>
  <c r="G5" i="10"/>
  <c r="F5" i="10"/>
  <c r="E5" i="10"/>
  <c r="D5" i="10"/>
  <c r="C5" i="10"/>
  <c r="B7" i="10"/>
  <c r="B5" i="10"/>
  <c r="N33" i="10"/>
  <c r="L32" i="10"/>
  <c r="I32" i="10"/>
  <c r="E32" i="10"/>
  <c r="N30" i="10"/>
  <c r="N29" i="10"/>
  <c r="K32" i="10"/>
  <c r="J32" i="10"/>
  <c r="G32" i="10"/>
  <c r="F32" i="10"/>
  <c r="M99" i="10"/>
  <c r="K99" i="10"/>
  <c r="C99" i="10"/>
  <c r="B99" i="10"/>
  <c r="N97" i="10"/>
  <c r="N96" i="10"/>
  <c r="L95" i="10"/>
  <c r="L99" i="10" s="1"/>
  <c r="K95" i="10"/>
  <c r="J95" i="10"/>
  <c r="J99" i="10" s="1"/>
  <c r="I95" i="10"/>
  <c r="I99" i="10" s="1"/>
  <c r="H95" i="10"/>
  <c r="H99" i="10" s="1"/>
  <c r="G95" i="10"/>
  <c r="G99" i="10" s="1"/>
  <c r="F95" i="10"/>
  <c r="F99" i="10" s="1"/>
  <c r="E95" i="10"/>
  <c r="D95" i="10"/>
  <c r="D99" i="10" s="1"/>
  <c r="C95" i="10"/>
  <c r="N32" i="10" l="1"/>
  <c r="N28" i="10"/>
  <c r="N95" i="10"/>
  <c r="E99" i="10"/>
  <c r="N99" i="10" s="1"/>
  <c r="B39" i="1"/>
  <c r="E5" i="1"/>
  <c r="N48" i="1"/>
  <c r="N44" i="1"/>
  <c r="M43" i="1"/>
  <c r="L43" i="1"/>
  <c r="K43" i="1"/>
  <c r="J43" i="1"/>
  <c r="I43" i="1"/>
  <c r="H43" i="1"/>
  <c r="G43" i="1"/>
  <c r="F43" i="1"/>
  <c r="E43" i="1"/>
  <c r="D43" i="1"/>
  <c r="C43" i="1"/>
  <c r="N41" i="1"/>
  <c r="N40" i="1"/>
  <c r="B43" i="1"/>
  <c r="B29" i="2"/>
  <c r="N29" i="2" s="1"/>
  <c r="N34" i="2"/>
  <c r="M33" i="2"/>
  <c r="L33" i="2"/>
  <c r="K33" i="2"/>
  <c r="J33" i="2"/>
  <c r="I33" i="2"/>
  <c r="H33" i="2"/>
  <c r="G33" i="2"/>
  <c r="F33" i="2"/>
  <c r="E33" i="2"/>
  <c r="D33" i="2"/>
  <c r="C33" i="2"/>
  <c r="N31" i="2"/>
  <c r="N30" i="2"/>
  <c r="B28" i="6"/>
  <c r="H6" i="6"/>
  <c r="N6" i="6" s="1"/>
  <c r="E47" i="13"/>
  <c r="D47" i="13"/>
  <c r="C47" i="13"/>
  <c r="L10" i="13"/>
  <c r="K10" i="13"/>
  <c r="H10" i="13"/>
  <c r="F10" i="13"/>
  <c r="L42" i="13"/>
  <c r="K42" i="13"/>
  <c r="D42" i="13"/>
  <c r="B42" i="13"/>
  <c r="B46" i="13" s="1"/>
  <c r="H5" i="13"/>
  <c r="G5" i="13"/>
  <c r="D5" i="13"/>
  <c r="N50" i="13"/>
  <c r="M46" i="13"/>
  <c r="L46" i="13"/>
  <c r="J46" i="13"/>
  <c r="I46" i="13"/>
  <c r="H46" i="13"/>
  <c r="G46" i="13"/>
  <c r="E46" i="13"/>
  <c r="D46" i="13"/>
  <c r="N44" i="13"/>
  <c r="N43" i="13"/>
  <c r="K46" i="13"/>
  <c r="F46" i="13"/>
  <c r="C46" i="13"/>
  <c r="H12" i="11"/>
  <c r="G12" i="11"/>
  <c r="B42" i="11"/>
  <c r="I6" i="11"/>
  <c r="H6" i="11"/>
  <c r="H10" i="11" s="1"/>
  <c r="G6" i="11"/>
  <c r="F6" i="11"/>
  <c r="E6" i="11"/>
  <c r="N51" i="11"/>
  <c r="N48" i="11"/>
  <c r="M46" i="11"/>
  <c r="L46" i="11"/>
  <c r="K46" i="11"/>
  <c r="J46" i="11"/>
  <c r="I46" i="11"/>
  <c r="H46" i="11"/>
  <c r="G46" i="11"/>
  <c r="F46" i="11"/>
  <c r="E46" i="11"/>
  <c r="D46" i="11"/>
  <c r="C46" i="11"/>
  <c r="N44" i="11"/>
  <c r="N43" i="11"/>
  <c r="N42" i="11"/>
  <c r="B46" i="11"/>
  <c r="N33" i="11"/>
  <c r="C30" i="11"/>
  <c r="B30" i="11"/>
  <c r="N30" i="11" s="1"/>
  <c r="M28" i="11"/>
  <c r="L28" i="11"/>
  <c r="K28" i="11"/>
  <c r="J28" i="11"/>
  <c r="I28" i="11"/>
  <c r="H28" i="11"/>
  <c r="G28" i="11"/>
  <c r="F28" i="11"/>
  <c r="E28" i="11"/>
  <c r="D28" i="11"/>
  <c r="C28" i="11"/>
  <c r="N26" i="11"/>
  <c r="N25" i="11"/>
  <c r="N24" i="11"/>
  <c r="B24" i="11"/>
  <c r="B28" i="11" s="1"/>
  <c r="N15" i="11"/>
  <c r="N12" i="11"/>
  <c r="M10" i="11"/>
  <c r="L10" i="11"/>
  <c r="K10" i="11"/>
  <c r="J10" i="11"/>
  <c r="I10" i="11"/>
  <c r="F10" i="11"/>
  <c r="E10" i="11"/>
  <c r="D10" i="11"/>
  <c r="C10" i="11"/>
  <c r="N8" i="11"/>
  <c r="N7" i="11"/>
  <c r="B32" i="12"/>
  <c r="N11" i="12"/>
  <c r="H8" i="12"/>
  <c r="H6" i="12"/>
  <c r="G6" i="12"/>
  <c r="E6" i="12"/>
  <c r="D6" i="12"/>
  <c r="J97" i="12"/>
  <c r="I97" i="12"/>
  <c r="C97" i="12"/>
  <c r="N95" i="12"/>
  <c r="L94" i="12"/>
  <c r="K94" i="12"/>
  <c r="M93" i="12"/>
  <c r="M97" i="12" s="1"/>
  <c r="L93" i="12"/>
  <c r="K93" i="12"/>
  <c r="H93" i="12"/>
  <c r="H97" i="12" s="1"/>
  <c r="G93" i="12"/>
  <c r="G97" i="12" s="1"/>
  <c r="F93" i="12"/>
  <c r="F97" i="12" s="1"/>
  <c r="E93" i="12"/>
  <c r="E97" i="12" s="1"/>
  <c r="D93" i="12"/>
  <c r="D97" i="12" s="1"/>
  <c r="B93" i="12"/>
  <c r="B97" i="12" s="1"/>
  <c r="B29" i="8"/>
  <c r="G6" i="8"/>
  <c r="E6" i="8"/>
  <c r="N22" i="8"/>
  <c r="M21" i="8"/>
  <c r="L21" i="8"/>
  <c r="K21" i="8"/>
  <c r="J21" i="8"/>
  <c r="I21" i="8"/>
  <c r="H21" i="8"/>
  <c r="G21" i="8"/>
  <c r="F21" i="8"/>
  <c r="E21" i="8"/>
  <c r="D21" i="8"/>
  <c r="C21" i="8"/>
  <c r="N19" i="8"/>
  <c r="B18" i="8"/>
  <c r="N18" i="8" s="1"/>
  <c r="B17" i="8"/>
  <c r="B21" i="8" s="1"/>
  <c r="N11" i="8"/>
  <c r="M10" i="8"/>
  <c r="L10" i="8"/>
  <c r="K10" i="8"/>
  <c r="J10" i="8"/>
  <c r="I10" i="8"/>
  <c r="H10" i="8"/>
  <c r="G10" i="8"/>
  <c r="F10" i="8"/>
  <c r="E10" i="8"/>
  <c r="D10" i="8"/>
  <c r="C10" i="8"/>
  <c r="N8" i="8"/>
  <c r="N7" i="8"/>
  <c r="B10" i="8"/>
  <c r="N29" i="8"/>
  <c r="N30" i="8"/>
  <c r="B28" i="7"/>
  <c r="E5" i="7"/>
  <c r="D5" i="7"/>
  <c r="N33" i="7"/>
  <c r="M32" i="7"/>
  <c r="L32" i="7"/>
  <c r="K32" i="7"/>
  <c r="J32" i="7"/>
  <c r="I32" i="7"/>
  <c r="H32" i="7"/>
  <c r="G32" i="7"/>
  <c r="F32" i="7"/>
  <c r="E32" i="7"/>
  <c r="D32" i="7"/>
  <c r="C32" i="7"/>
  <c r="N30" i="7"/>
  <c r="N29" i="7"/>
  <c r="B32" i="7"/>
  <c r="B31" i="9"/>
  <c r="N31" i="9" s="1"/>
  <c r="B30" i="9"/>
  <c r="E6" i="9"/>
  <c r="E10" i="9" s="1"/>
  <c r="C7" i="9"/>
  <c r="N7" i="9" s="1"/>
  <c r="C6" i="9"/>
  <c r="N35" i="9"/>
  <c r="M34" i="9"/>
  <c r="L34" i="9"/>
  <c r="K34" i="9"/>
  <c r="J34" i="9"/>
  <c r="I34" i="9"/>
  <c r="H34" i="9"/>
  <c r="G34" i="9"/>
  <c r="F34" i="9"/>
  <c r="E34" i="9"/>
  <c r="D34" i="9"/>
  <c r="N32" i="9"/>
  <c r="C34" i="9"/>
  <c r="N11" i="9"/>
  <c r="M10" i="9"/>
  <c r="L10" i="9"/>
  <c r="K10" i="9"/>
  <c r="J10" i="9"/>
  <c r="I10" i="9"/>
  <c r="H10" i="9"/>
  <c r="G10" i="9"/>
  <c r="F10" i="9"/>
  <c r="D10" i="9"/>
  <c r="N8" i="9"/>
  <c r="B10" i="9"/>
  <c r="B39" i="3"/>
  <c r="E6" i="3"/>
  <c r="E10" i="3" s="1"/>
  <c r="D6" i="3"/>
  <c r="N44" i="3"/>
  <c r="M43" i="3"/>
  <c r="L43" i="3"/>
  <c r="K43" i="3"/>
  <c r="J43" i="3"/>
  <c r="I43" i="3"/>
  <c r="H43" i="3"/>
  <c r="G43" i="3"/>
  <c r="F43" i="3"/>
  <c r="E43" i="3"/>
  <c r="D43" i="3"/>
  <c r="C43" i="3"/>
  <c r="N41" i="3"/>
  <c r="N40" i="3"/>
  <c r="N39" i="3"/>
  <c r="N11" i="3"/>
  <c r="M10" i="3"/>
  <c r="L10" i="3"/>
  <c r="K10" i="3"/>
  <c r="J10" i="3"/>
  <c r="I10" i="3"/>
  <c r="H10" i="3"/>
  <c r="G10" i="3"/>
  <c r="F10" i="3"/>
  <c r="D10" i="3"/>
  <c r="C10" i="3"/>
  <c r="N8" i="3"/>
  <c r="N7" i="3"/>
  <c r="B6" i="3"/>
  <c r="B10" i="3" s="1"/>
  <c r="B31" i="4"/>
  <c r="B30" i="4"/>
  <c r="H6" i="4"/>
  <c r="H10" i="4" s="1"/>
  <c r="G6" i="4"/>
  <c r="E7" i="4"/>
  <c r="C6" i="4"/>
  <c r="N23" i="4"/>
  <c r="M22" i="4"/>
  <c r="L22" i="4"/>
  <c r="K22" i="4"/>
  <c r="J22" i="4"/>
  <c r="I22" i="4"/>
  <c r="H22" i="4"/>
  <c r="G22" i="4"/>
  <c r="F22" i="4"/>
  <c r="E22" i="4"/>
  <c r="D22" i="4"/>
  <c r="C22" i="4"/>
  <c r="N20" i="4"/>
  <c r="B19" i="4"/>
  <c r="N19" i="4" s="1"/>
  <c r="B18" i="4"/>
  <c r="B22" i="4" s="1"/>
  <c r="N22" i="4" s="1"/>
  <c r="N11" i="4"/>
  <c r="M10" i="4"/>
  <c r="L10" i="4"/>
  <c r="K10" i="4"/>
  <c r="J10" i="4"/>
  <c r="I10" i="4"/>
  <c r="G10" i="4"/>
  <c r="F10" i="4"/>
  <c r="E10" i="4"/>
  <c r="D10" i="4"/>
  <c r="C10" i="4"/>
  <c r="N8" i="4"/>
  <c r="N7" i="4"/>
  <c r="B40" i="5"/>
  <c r="N40" i="5" s="1"/>
  <c r="N14" i="5"/>
  <c r="G13" i="5"/>
  <c r="C13" i="5"/>
  <c r="G6" i="5"/>
  <c r="D6" i="5"/>
  <c r="D10" i="5" s="1"/>
  <c r="B6" i="5"/>
  <c r="B10" i="5" s="1"/>
  <c r="N48" i="5"/>
  <c r="N45" i="5"/>
  <c r="M44" i="5"/>
  <c r="L44" i="5"/>
  <c r="K44" i="5"/>
  <c r="J44" i="5"/>
  <c r="I44" i="5"/>
  <c r="H44" i="5"/>
  <c r="G44" i="5"/>
  <c r="F44" i="5"/>
  <c r="E44" i="5"/>
  <c r="D44" i="5"/>
  <c r="C44" i="5"/>
  <c r="N42" i="5"/>
  <c r="N41" i="5"/>
  <c r="N11" i="5"/>
  <c r="M10" i="5"/>
  <c r="L10" i="5"/>
  <c r="K10" i="5"/>
  <c r="J10" i="5"/>
  <c r="I10" i="5"/>
  <c r="H10" i="5"/>
  <c r="G10" i="5"/>
  <c r="F10" i="5"/>
  <c r="E10" i="5"/>
  <c r="C10" i="5"/>
  <c r="N8" i="5"/>
  <c r="N7" i="5"/>
  <c r="B32" i="6"/>
  <c r="N33" i="6"/>
  <c r="M32" i="6"/>
  <c r="L32" i="6"/>
  <c r="K32" i="6"/>
  <c r="J32" i="6"/>
  <c r="I32" i="6"/>
  <c r="H32" i="6"/>
  <c r="G32" i="6"/>
  <c r="F32" i="6"/>
  <c r="E32" i="6"/>
  <c r="D32" i="6"/>
  <c r="C32" i="6"/>
  <c r="N30" i="6"/>
  <c r="N29" i="6"/>
  <c r="N11" i="6"/>
  <c r="N8" i="6"/>
  <c r="N7" i="6"/>
  <c r="C10" i="6"/>
  <c r="D10" i="6"/>
  <c r="E10" i="6"/>
  <c r="F10" i="6"/>
  <c r="G10" i="6"/>
  <c r="I10" i="6"/>
  <c r="J10" i="6"/>
  <c r="K10" i="6"/>
  <c r="L10" i="6"/>
  <c r="M10" i="6"/>
  <c r="B10" i="6"/>
  <c r="N43" i="1" l="1"/>
  <c r="N39" i="1"/>
  <c r="B33" i="2"/>
  <c r="N33" i="2" s="1"/>
  <c r="H10" i="6"/>
  <c r="N10" i="6" s="1"/>
  <c r="N47" i="13"/>
  <c r="N46" i="13"/>
  <c r="N42" i="13"/>
  <c r="N46" i="11"/>
  <c r="N6" i="11"/>
  <c r="G10" i="11"/>
  <c r="N28" i="11"/>
  <c r="B10" i="11"/>
  <c r="K97" i="12"/>
  <c r="N94" i="12"/>
  <c r="L97" i="12"/>
  <c r="N93" i="12"/>
  <c r="N10" i="8"/>
  <c r="N21" i="8"/>
  <c r="N17" i="8"/>
  <c r="N6" i="8"/>
  <c r="N32" i="7"/>
  <c r="N28" i="7"/>
  <c r="B34" i="9"/>
  <c r="N34" i="9" s="1"/>
  <c r="C10" i="9"/>
  <c r="N10" i="9"/>
  <c r="N30" i="9"/>
  <c r="N6" i="9"/>
  <c r="N6" i="3"/>
  <c r="N10" i="3"/>
  <c r="B43" i="3"/>
  <c r="N43" i="3" s="1"/>
  <c r="B10" i="4"/>
  <c r="N10" i="4" s="1"/>
  <c r="N18" i="4"/>
  <c r="N6" i="4"/>
  <c r="N13" i="5"/>
  <c r="N15" i="5" s="1"/>
  <c r="B44" i="5"/>
  <c r="N44" i="5" s="1"/>
  <c r="N10" i="5"/>
  <c r="N6" i="5"/>
  <c r="N32" i="6"/>
  <c r="N28" i="6"/>
  <c r="B41" i="25"/>
  <c r="N41" i="25" s="1"/>
  <c r="N46" i="25"/>
  <c r="M45" i="25"/>
  <c r="L45" i="25"/>
  <c r="K45" i="25"/>
  <c r="J45" i="25"/>
  <c r="I45" i="25"/>
  <c r="H45" i="25"/>
  <c r="G45" i="25"/>
  <c r="F45" i="25"/>
  <c r="E45" i="25"/>
  <c r="D45" i="25"/>
  <c r="C45" i="25"/>
  <c r="N43" i="25"/>
  <c r="N42" i="25"/>
  <c r="B29" i="25"/>
  <c r="N29" i="25" s="1"/>
  <c r="B18" i="25"/>
  <c r="B22" i="25" s="1"/>
  <c r="N34" i="25"/>
  <c r="M33" i="25"/>
  <c r="L33" i="25"/>
  <c r="K33" i="25"/>
  <c r="J33" i="25"/>
  <c r="I33" i="25"/>
  <c r="H33" i="25"/>
  <c r="G33" i="25"/>
  <c r="F33" i="25"/>
  <c r="E33" i="25"/>
  <c r="D33" i="25"/>
  <c r="C33" i="25"/>
  <c r="N31" i="25"/>
  <c r="N30" i="25"/>
  <c r="N23" i="25"/>
  <c r="M22" i="25"/>
  <c r="L22" i="25"/>
  <c r="K22" i="25"/>
  <c r="J22" i="25"/>
  <c r="I22" i="25"/>
  <c r="H22" i="25"/>
  <c r="G22" i="25"/>
  <c r="F22" i="25"/>
  <c r="E22" i="25"/>
  <c r="D22" i="25"/>
  <c r="C22" i="25"/>
  <c r="N20" i="25"/>
  <c r="N19" i="25"/>
  <c r="N18" i="25"/>
  <c r="N12" i="25"/>
  <c r="M11" i="25"/>
  <c r="L11" i="25"/>
  <c r="K11" i="25"/>
  <c r="J11" i="25"/>
  <c r="I11" i="25"/>
  <c r="H11" i="25"/>
  <c r="G11" i="25"/>
  <c r="F11" i="25"/>
  <c r="E11" i="25"/>
  <c r="D11" i="25"/>
  <c r="C11" i="25"/>
  <c r="N9" i="25"/>
  <c r="N8" i="25"/>
  <c r="B7" i="25"/>
  <c r="N7" i="25" s="1"/>
  <c r="N97" i="12" l="1"/>
  <c r="N10" i="11"/>
  <c r="B45" i="25"/>
  <c r="N45" i="25" s="1"/>
  <c r="N22" i="25"/>
  <c r="B11" i="25"/>
  <c r="N11" i="25" s="1"/>
  <c r="B33" i="25"/>
  <c r="N33" i="25" s="1"/>
  <c r="L22" i="15"/>
  <c r="L24" i="15" s="1"/>
  <c r="J22" i="15"/>
  <c r="J24" i="15" s="1"/>
  <c r="I22" i="15"/>
  <c r="I24" i="15" s="1"/>
  <c r="N25" i="15"/>
  <c r="M24" i="15"/>
  <c r="K24" i="15"/>
  <c r="G24" i="15"/>
  <c r="F24" i="15"/>
  <c r="E24" i="15"/>
  <c r="C24" i="15"/>
  <c r="B24" i="15"/>
  <c r="H24" i="15"/>
  <c r="D24" i="15"/>
  <c r="N21" i="15"/>
  <c r="N20" i="15"/>
  <c r="N24" i="15" l="1"/>
  <c r="N22" i="15"/>
  <c r="L18" i="24" l="1"/>
  <c r="K18" i="24"/>
  <c r="K22" i="24" s="1"/>
  <c r="N24" i="24"/>
  <c r="M22" i="24"/>
  <c r="L22" i="24"/>
  <c r="J22" i="24"/>
  <c r="I22" i="24"/>
  <c r="H22" i="24"/>
  <c r="G22" i="24"/>
  <c r="F22" i="24"/>
  <c r="D22" i="24"/>
  <c r="B22" i="24"/>
  <c r="N20" i="24"/>
  <c r="N19" i="24"/>
  <c r="E22" i="24"/>
  <c r="C22" i="24"/>
  <c r="N11" i="24"/>
  <c r="M9" i="24"/>
  <c r="J9" i="24"/>
  <c r="I9" i="24"/>
  <c r="H9" i="24"/>
  <c r="G9" i="24"/>
  <c r="F9" i="24"/>
  <c r="B9" i="24"/>
  <c r="N7" i="24"/>
  <c r="K6" i="24"/>
  <c r="N6" i="24" s="1"/>
  <c r="L5" i="24"/>
  <c r="L9" i="24" s="1"/>
  <c r="K5" i="24"/>
  <c r="K9" i="24" s="1"/>
  <c r="F5" i="24"/>
  <c r="E5" i="24"/>
  <c r="E9" i="24" s="1"/>
  <c r="D5" i="24"/>
  <c r="D9" i="24" s="1"/>
  <c r="C5" i="24"/>
  <c r="C9" i="24" s="1"/>
  <c r="B5" i="24"/>
  <c r="L5" i="13"/>
  <c r="K5" i="13"/>
  <c r="K6" i="13"/>
  <c r="F5" i="13"/>
  <c r="E5" i="13"/>
  <c r="C5" i="13"/>
  <c r="B5" i="13"/>
  <c r="N22" i="24" l="1"/>
  <c r="N18" i="24"/>
  <c r="N9" i="24"/>
  <c r="N5" i="24"/>
  <c r="B28" i="23"/>
  <c r="B16" i="23"/>
  <c r="N16" i="23" s="1"/>
  <c r="N34" i="23"/>
  <c r="N33" i="23"/>
  <c r="M32" i="23"/>
  <c r="L32" i="23"/>
  <c r="K32" i="23"/>
  <c r="J32" i="23"/>
  <c r="I32" i="23"/>
  <c r="H32" i="23"/>
  <c r="G32" i="23"/>
  <c r="F32" i="23"/>
  <c r="E32" i="23"/>
  <c r="D32" i="23"/>
  <c r="C32" i="23"/>
  <c r="N30" i="23"/>
  <c r="N29" i="23"/>
  <c r="B32" i="23"/>
  <c r="N21" i="23"/>
  <c r="M20" i="23"/>
  <c r="L20" i="23"/>
  <c r="K20" i="23"/>
  <c r="J20" i="23"/>
  <c r="I20" i="23"/>
  <c r="H20" i="23"/>
  <c r="G20" i="23"/>
  <c r="F20" i="23"/>
  <c r="E20" i="23"/>
  <c r="D20" i="23"/>
  <c r="C20" i="23"/>
  <c r="N18" i="23"/>
  <c r="N17" i="23"/>
  <c r="N10" i="23"/>
  <c r="M9" i="23"/>
  <c r="L9" i="23"/>
  <c r="K9" i="23"/>
  <c r="J9" i="23"/>
  <c r="I9" i="23"/>
  <c r="H9" i="23"/>
  <c r="G9" i="23"/>
  <c r="F9" i="23"/>
  <c r="E9" i="23"/>
  <c r="D9" i="23"/>
  <c r="C9" i="23"/>
  <c r="N7" i="23"/>
  <c r="N6" i="23"/>
  <c r="B5" i="23"/>
  <c r="B9" i="23" s="1"/>
  <c r="N32" i="23" l="1"/>
  <c r="N5" i="23"/>
  <c r="N9" i="23"/>
  <c r="B20" i="23"/>
  <c r="N20" i="23" s="1"/>
  <c r="N28" i="23"/>
  <c r="B29" i="22"/>
  <c r="B16" i="22"/>
  <c r="N35" i="22"/>
  <c r="N22" i="22"/>
  <c r="N21" i="22"/>
  <c r="N34" i="22"/>
  <c r="B5" i="22"/>
  <c r="N10" i="22"/>
  <c r="N18" i="22"/>
  <c r="N17" i="22"/>
  <c r="N16" i="22"/>
  <c r="C20" i="22"/>
  <c r="D20" i="22"/>
  <c r="E20" i="22"/>
  <c r="F20" i="22"/>
  <c r="G20" i="22"/>
  <c r="H20" i="22"/>
  <c r="I20" i="22"/>
  <c r="J20" i="22"/>
  <c r="K20" i="22"/>
  <c r="L20" i="22"/>
  <c r="M20" i="22"/>
  <c r="B20" i="22"/>
  <c r="M33" i="22"/>
  <c r="L33" i="22"/>
  <c r="K33" i="22"/>
  <c r="J33" i="22"/>
  <c r="I33" i="22"/>
  <c r="H33" i="22"/>
  <c r="G33" i="22"/>
  <c r="F33" i="22"/>
  <c r="E33" i="22"/>
  <c r="D33" i="22"/>
  <c r="C33" i="22"/>
  <c r="N31" i="22"/>
  <c r="N30" i="22"/>
  <c r="B33" i="22"/>
  <c r="I9" i="22"/>
  <c r="H9" i="22"/>
  <c r="G9" i="22"/>
  <c r="F9" i="22"/>
  <c r="E9" i="22"/>
  <c r="N7" i="22"/>
  <c r="N6" i="22"/>
  <c r="M9" i="22"/>
  <c r="L9" i="22"/>
  <c r="K9" i="22"/>
  <c r="J9" i="22"/>
  <c r="D9" i="22"/>
  <c r="C9" i="22"/>
  <c r="N20" i="22" l="1"/>
  <c r="N33" i="22"/>
  <c r="N5" i="22"/>
  <c r="B9" i="22"/>
  <c r="N9" i="22"/>
  <c r="N29" i="22"/>
  <c r="N11" i="21"/>
  <c r="M10" i="21"/>
  <c r="L10" i="21"/>
  <c r="K10" i="21"/>
  <c r="J10" i="21"/>
  <c r="I10" i="21"/>
  <c r="H10" i="21"/>
  <c r="G10" i="21"/>
  <c r="F10" i="21"/>
  <c r="E10" i="21"/>
  <c r="C10" i="21"/>
  <c r="B10" i="21"/>
  <c r="N8" i="21"/>
  <c r="N7" i="21"/>
  <c r="N6" i="21"/>
  <c r="D10" i="21" l="1"/>
  <c r="N10" i="21" s="1"/>
  <c r="D5" i="1"/>
  <c r="B161" i="20" l="1"/>
  <c r="B165" i="20" s="1"/>
  <c r="B150" i="20"/>
  <c r="B154" i="20" s="1"/>
  <c r="B123" i="20"/>
  <c r="B111" i="20"/>
  <c r="N166" i="20"/>
  <c r="M165" i="20"/>
  <c r="L165" i="20"/>
  <c r="K165" i="20"/>
  <c r="J165" i="20"/>
  <c r="I165" i="20"/>
  <c r="H165" i="20"/>
  <c r="G165" i="20"/>
  <c r="F165" i="20"/>
  <c r="E165" i="20"/>
  <c r="D165" i="20"/>
  <c r="C165" i="20"/>
  <c r="N163" i="20"/>
  <c r="N162" i="20"/>
  <c r="N155" i="20"/>
  <c r="M154" i="20"/>
  <c r="L154" i="20"/>
  <c r="K154" i="20"/>
  <c r="J154" i="20"/>
  <c r="I154" i="20"/>
  <c r="H154" i="20"/>
  <c r="G154" i="20"/>
  <c r="F154" i="20"/>
  <c r="E154" i="20"/>
  <c r="D154" i="20"/>
  <c r="C154" i="20"/>
  <c r="N152" i="20"/>
  <c r="N151" i="20"/>
  <c r="N145" i="20"/>
  <c r="M144" i="20"/>
  <c r="L144" i="20"/>
  <c r="K144" i="20"/>
  <c r="J144" i="20"/>
  <c r="I144" i="20"/>
  <c r="H144" i="20"/>
  <c r="G144" i="20"/>
  <c r="F144" i="20"/>
  <c r="E144" i="20"/>
  <c r="D144" i="20"/>
  <c r="C144" i="20"/>
  <c r="N142" i="20"/>
  <c r="N141" i="20"/>
  <c r="B144" i="20"/>
  <c r="B124" i="20"/>
  <c r="N124" i="20" s="1"/>
  <c r="N128" i="20"/>
  <c r="M127" i="20"/>
  <c r="L127" i="20"/>
  <c r="K127" i="20"/>
  <c r="J127" i="20"/>
  <c r="I127" i="20"/>
  <c r="H127" i="20"/>
  <c r="G127" i="20"/>
  <c r="F127" i="20"/>
  <c r="E127" i="20"/>
  <c r="D127" i="20"/>
  <c r="C127" i="20"/>
  <c r="N125" i="20"/>
  <c r="N116" i="20"/>
  <c r="M115" i="20"/>
  <c r="L115" i="20"/>
  <c r="K115" i="20"/>
  <c r="J115" i="20"/>
  <c r="I115" i="20"/>
  <c r="H115" i="20"/>
  <c r="G115" i="20"/>
  <c r="F115" i="20"/>
  <c r="E115" i="20"/>
  <c r="D115" i="20"/>
  <c r="C115" i="20"/>
  <c r="N113" i="20"/>
  <c r="B112" i="20"/>
  <c r="N112" i="20" s="1"/>
  <c r="N106" i="20"/>
  <c r="M105" i="20"/>
  <c r="L105" i="20"/>
  <c r="K105" i="20"/>
  <c r="J105" i="20"/>
  <c r="I105" i="20"/>
  <c r="H105" i="20"/>
  <c r="G105" i="20"/>
  <c r="F105" i="20"/>
  <c r="E105" i="20"/>
  <c r="D105" i="20"/>
  <c r="C105" i="20"/>
  <c r="N103" i="20"/>
  <c r="B102" i="20"/>
  <c r="N102" i="20" s="1"/>
  <c r="B101" i="20"/>
  <c r="N150" i="20" l="1"/>
  <c r="B115" i="20"/>
  <c r="N115" i="20" s="1"/>
  <c r="B105" i="20"/>
  <c r="N165" i="20"/>
  <c r="N154" i="20"/>
  <c r="N144" i="20"/>
  <c r="N140" i="20"/>
  <c r="N161" i="20"/>
  <c r="N101" i="20"/>
  <c r="B127" i="20"/>
  <c r="N127" i="20" s="1"/>
  <c r="N105" i="20"/>
  <c r="N123" i="20"/>
  <c r="N111" i="20"/>
  <c r="B22" i="1"/>
  <c r="N22" i="1"/>
  <c r="N23" i="1"/>
  <c r="N24" i="1"/>
  <c r="B26" i="1"/>
  <c r="C26" i="1"/>
  <c r="N26" i="1" s="1"/>
  <c r="D26" i="1"/>
  <c r="E26" i="1"/>
  <c r="F26" i="1"/>
  <c r="G26" i="1"/>
  <c r="H26" i="1"/>
  <c r="I26" i="1"/>
  <c r="J26" i="1"/>
  <c r="K26" i="1"/>
  <c r="L26" i="1"/>
  <c r="M26" i="1"/>
  <c r="N27" i="1"/>
  <c r="N31" i="1"/>
  <c r="B73" i="16" l="1"/>
  <c r="N73" i="16" s="1"/>
  <c r="B63" i="16"/>
  <c r="N63" i="16" s="1"/>
  <c r="D52" i="16"/>
  <c r="D56" i="16" s="1"/>
  <c r="N57" i="16"/>
  <c r="M56" i="16"/>
  <c r="L56" i="16"/>
  <c r="K56" i="16"/>
  <c r="J56" i="16"/>
  <c r="I56" i="16"/>
  <c r="H56" i="16"/>
  <c r="G56" i="16"/>
  <c r="F56" i="16"/>
  <c r="E56" i="16"/>
  <c r="C56" i="16"/>
  <c r="N54" i="16"/>
  <c r="N53" i="16"/>
  <c r="N78" i="16"/>
  <c r="M77" i="16"/>
  <c r="L77" i="16"/>
  <c r="K77" i="16"/>
  <c r="J77" i="16"/>
  <c r="I77" i="16"/>
  <c r="H77" i="16"/>
  <c r="G77" i="16"/>
  <c r="F77" i="16"/>
  <c r="E77" i="16"/>
  <c r="D77" i="16"/>
  <c r="C77" i="16"/>
  <c r="N75" i="16"/>
  <c r="N74" i="16"/>
  <c r="N68" i="16"/>
  <c r="M67" i="16"/>
  <c r="L67" i="16"/>
  <c r="K67" i="16"/>
  <c r="J67" i="16"/>
  <c r="I67" i="16"/>
  <c r="H67" i="16"/>
  <c r="G67" i="16"/>
  <c r="F67" i="16"/>
  <c r="E67" i="16"/>
  <c r="D67" i="16"/>
  <c r="C67" i="16"/>
  <c r="N65" i="16"/>
  <c r="N64" i="16"/>
  <c r="N52" i="16" l="1"/>
  <c r="B77" i="16"/>
  <c r="N77" i="16"/>
  <c r="B56" i="16"/>
  <c r="N56" i="16" s="1"/>
  <c r="B67" i="16"/>
  <c r="N67" i="16" s="1"/>
  <c r="B23" i="5"/>
  <c r="B17" i="2"/>
  <c r="M25" i="13"/>
  <c r="L25" i="13"/>
  <c r="L26" i="13"/>
  <c r="K26" i="13"/>
  <c r="K25" i="13"/>
  <c r="B25" i="13"/>
  <c r="N33" i="13" l="1"/>
  <c r="N30" i="13"/>
  <c r="M29" i="13"/>
  <c r="J29" i="13"/>
  <c r="I29" i="13"/>
  <c r="H29" i="13"/>
  <c r="G29" i="13"/>
  <c r="F29" i="13"/>
  <c r="E29" i="13"/>
  <c r="D29" i="13"/>
  <c r="C29" i="13"/>
  <c r="B29" i="13"/>
  <c r="N27" i="13"/>
  <c r="N26" i="13"/>
  <c r="L29" i="13"/>
  <c r="K29" i="13"/>
  <c r="B16" i="14"/>
  <c r="N16" i="14" s="1"/>
  <c r="N21" i="14"/>
  <c r="M20" i="14"/>
  <c r="L20" i="14"/>
  <c r="K20" i="14"/>
  <c r="J20" i="14"/>
  <c r="I20" i="14"/>
  <c r="H20" i="14"/>
  <c r="G20" i="14"/>
  <c r="F20" i="14"/>
  <c r="E20" i="14"/>
  <c r="D20" i="14"/>
  <c r="C20" i="14"/>
  <c r="N18" i="14"/>
  <c r="N17" i="14"/>
  <c r="B20" i="14"/>
  <c r="B38" i="14"/>
  <c r="N38" i="14"/>
  <c r="N39" i="14"/>
  <c r="N40" i="14"/>
  <c r="B42" i="14"/>
  <c r="C42" i="14"/>
  <c r="D42" i="14"/>
  <c r="E42" i="14"/>
  <c r="F42" i="14"/>
  <c r="G42" i="14"/>
  <c r="H42" i="14"/>
  <c r="I42" i="14"/>
  <c r="J42" i="14"/>
  <c r="K42" i="14"/>
  <c r="L42" i="14"/>
  <c r="M42" i="14"/>
  <c r="K16" i="10"/>
  <c r="K20" i="10" s="1"/>
  <c r="J16" i="10"/>
  <c r="J20" i="10" s="1"/>
  <c r="I16" i="10"/>
  <c r="I20" i="10" s="1"/>
  <c r="H16" i="10"/>
  <c r="G16" i="10"/>
  <c r="G20" i="10" s="1"/>
  <c r="F16" i="10"/>
  <c r="F20" i="10" s="1"/>
  <c r="E16" i="10"/>
  <c r="D16" i="10"/>
  <c r="C16" i="10"/>
  <c r="C20" i="10"/>
  <c r="B16" i="10"/>
  <c r="B18" i="10"/>
  <c r="B36" i="12"/>
  <c r="N37" i="12"/>
  <c r="M36" i="12"/>
  <c r="L36" i="12"/>
  <c r="K36" i="12"/>
  <c r="J36" i="12"/>
  <c r="I36" i="12"/>
  <c r="H36" i="12"/>
  <c r="G36" i="12"/>
  <c r="F36" i="12"/>
  <c r="E36" i="12"/>
  <c r="D36" i="12"/>
  <c r="C36" i="12"/>
  <c r="N34" i="12"/>
  <c r="N33" i="12"/>
  <c r="N32" i="12"/>
  <c r="C32" i="5"/>
  <c r="N32" i="5"/>
  <c r="C17" i="9"/>
  <c r="C21" i="9" s="1"/>
  <c r="B17" i="9"/>
  <c r="M67" i="9"/>
  <c r="B18" i="9"/>
  <c r="N21" i="10"/>
  <c r="M20" i="10"/>
  <c r="E20" i="10"/>
  <c r="B20" i="10"/>
  <c r="N18" i="10"/>
  <c r="N17" i="10"/>
  <c r="L20" i="10"/>
  <c r="H20" i="10"/>
  <c r="D20" i="10"/>
  <c r="N22" i="9"/>
  <c r="M21" i="9"/>
  <c r="L21" i="9"/>
  <c r="K21" i="9"/>
  <c r="J21" i="9"/>
  <c r="I21" i="9"/>
  <c r="H21" i="9"/>
  <c r="G21" i="9"/>
  <c r="F21" i="9"/>
  <c r="E21" i="9"/>
  <c r="D21" i="9"/>
  <c r="N19" i="9"/>
  <c r="N18" i="9"/>
  <c r="B43" i="9"/>
  <c r="N43" i="9" s="1"/>
  <c r="B44" i="9"/>
  <c r="N44" i="9"/>
  <c r="N45" i="9"/>
  <c r="C47" i="9"/>
  <c r="D47" i="9"/>
  <c r="E47" i="9"/>
  <c r="F47" i="9"/>
  <c r="G47" i="9"/>
  <c r="H47" i="9"/>
  <c r="I47" i="9"/>
  <c r="J47" i="9"/>
  <c r="K47" i="9"/>
  <c r="L47" i="9"/>
  <c r="M47" i="9"/>
  <c r="N48" i="9"/>
  <c r="B17" i="7"/>
  <c r="B20" i="7" s="1"/>
  <c r="B16" i="7"/>
  <c r="M53" i="8"/>
  <c r="L53" i="8"/>
  <c r="N34" i="8"/>
  <c r="M33" i="8"/>
  <c r="L33" i="8"/>
  <c r="K33" i="8"/>
  <c r="J33" i="8"/>
  <c r="I33" i="8"/>
  <c r="H33" i="8"/>
  <c r="G33" i="8"/>
  <c r="F33" i="8"/>
  <c r="E33" i="8"/>
  <c r="D33" i="8"/>
  <c r="C33" i="8"/>
  <c r="N31" i="8"/>
  <c r="N21" i="7"/>
  <c r="M20" i="7"/>
  <c r="L20" i="7"/>
  <c r="K20" i="7"/>
  <c r="J20" i="7"/>
  <c r="I20" i="7"/>
  <c r="H20" i="7"/>
  <c r="G20" i="7"/>
  <c r="F20" i="7"/>
  <c r="E20" i="7"/>
  <c r="D20" i="7"/>
  <c r="C20" i="7"/>
  <c r="N18" i="7"/>
  <c r="N17" i="7"/>
  <c r="B16" i="6"/>
  <c r="B17" i="6"/>
  <c r="N17" i="6" s="1"/>
  <c r="N31" i="4"/>
  <c r="M113" i="4"/>
  <c r="L113" i="4"/>
  <c r="B17" i="3"/>
  <c r="B21" i="3" s="1"/>
  <c r="N21" i="6"/>
  <c r="M20" i="6"/>
  <c r="L20" i="6"/>
  <c r="K20" i="6"/>
  <c r="J20" i="6"/>
  <c r="I20" i="6"/>
  <c r="H20" i="6"/>
  <c r="G20" i="6"/>
  <c r="F20" i="6"/>
  <c r="E20" i="6"/>
  <c r="D20" i="6"/>
  <c r="C20" i="6"/>
  <c r="N18" i="6"/>
  <c r="N28" i="5"/>
  <c r="M27" i="5"/>
  <c r="L27" i="5"/>
  <c r="K27" i="5"/>
  <c r="J27" i="5"/>
  <c r="I27" i="5"/>
  <c r="H27" i="5"/>
  <c r="G27" i="5"/>
  <c r="F27" i="5"/>
  <c r="E27" i="5"/>
  <c r="D27" i="5"/>
  <c r="C27" i="5"/>
  <c r="N25" i="5"/>
  <c r="N24" i="5"/>
  <c r="N23" i="5"/>
  <c r="B27" i="5"/>
  <c r="N35" i="4"/>
  <c r="M34" i="4"/>
  <c r="L34" i="4"/>
  <c r="K34" i="4"/>
  <c r="J34" i="4"/>
  <c r="I34" i="4"/>
  <c r="H34" i="4"/>
  <c r="G34" i="4"/>
  <c r="F34" i="4"/>
  <c r="E34" i="4"/>
  <c r="D34" i="4"/>
  <c r="C34" i="4"/>
  <c r="N32" i="4"/>
  <c r="N22" i="3"/>
  <c r="M21" i="3"/>
  <c r="L21" i="3"/>
  <c r="K21" i="3"/>
  <c r="J21" i="3"/>
  <c r="I21" i="3"/>
  <c r="H21" i="3"/>
  <c r="G21" i="3"/>
  <c r="F21" i="3"/>
  <c r="E21" i="3"/>
  <c r="D21" i="3"/>
  <c r="C21" i="3"/>
  <c r="N19" i="3"/>
  <c r="N18" i="3"/>
  <c r="N17" i="3"/>
  <c r="N42" i="14" l="1"/>
  <c r="B20" i="6"/>
  <c r="N20" i="6" s="1"/>
  <c r="N29" i="13"/>
  <c r="N25" i="13"/>
  <c r="N20" i="14"/>
  <c r="N16" i="10"/>
  <c r="N36" i="12"/>
  <c r="B21" i="9"/>
  <c r="N21" i="9" s="1"/>
  <c r="N20" i="10"/>
  <c r="N17" i="9"/>
  <c r="B47" i="9"/>
  <c r="N47" i="9" s="1"/>
  <c r="B33" i="8"/>
  <c r="N33" i="8" s="1"/>
  <c r="N20" i="7"/>
  <c r="N16" i="7"/>
  <c r="B34" i="4"/>
  <c r="N34" i="4" s="1"/>
  <c r="N16" i="6"/>
  <c r="N27" i="5"/>
  <c r="N30" i="4"/>
  <c r="N21" i="3"/>
  <c r="C45" i="19"/>
  <c r="B45" i="19"/>
  <c r="B33" i="19"/>
  <c r="B32" i="19"/>
  <c r="C19" i="19"/>
  <c r="B19" i="19"/>
  <c r="M6" i="19"/>
  <c r="N50" i="19"/>
  <c r="M49" i="19"/>
  <c r="L49" i="19"/>
  <c r="K49" i="19"/>
  <c r="J49" i="19"/>
  <c r="I49" i="19"/>
  <c r="H49" i="19"/>
  <c r="G49" i="19"/>
  <c r="F49" i="19"/>
  <c r="E49" i="19"/>
  <c r="D49" i="19"/>
  <c r="C49" i="19"/>
  <c r="N47" i="19"/>
  <c r="N46" i="19"/>
  <c r="B49" i="19"/>
  <c r="N37" i="19"/>
  <c r="M36" i="19"/>
  <c r="L36" i="19"/>
  <c r="K36" i="19"/>
  <c r="J36" i="19"/>
  <c r="I36" i="19"/>
  <c r="H36" i="19"/>
  <c r="G36" i="19"/>
  <c r="F36" i="19"/>
  <c r="E36" i="19"/>
  <c r="D36" i="19"/>
  <c r="C36" i="19"/>
  <c r="N34" i="19"/>
  <c r="N33" i="19"/>
  <c r="N11" i="19"/>
  <c r="M10" i="19"/>
  <c r="L10" i="19"/>
  <c r="G10" i="19"/>
  <c r="F10" i="19"/>
  <c r="E10" i="19"/>
  <c r="D10" i="19"/>
  <c r="C10" i="19"/>
  <c r="B10" i="19"/>
  <c r="N8" i="19"/>
  <c r="N7" i="19"/>
  <c r="K6" i="19"/>
  <c r="K10" i="19" s="1"/>
  <c r="J6" i="19"/>
  <c r="J10" i="19" s="1"/>
  <c r="I6" i="19"/>
  <c r="I10" i="19" s="1"/>
  <c r="H6" i="19"/>
  <c r="H10" i="19" s="1"/>
  <c r="N19" i="19"/>
  <c r="B20" i="19"/>
  <c r="B23" i="19" s="1"/>
  <c r="N21" i="19"/>
  <c r="J23" i="19"/>
  <c r="I23" i="19"/>
  <c r="N24" i="19"/>
  <c r="M23" i="19"/>
  <c r="L23" i="19"/>
  <c r="K23" i="19"/>
  <c r="H23" i="19"/>
  <c r="G23" i="19"/>
  <c r="F23" i="19"/>
  <c r="E23" i="19"/>
  <c r="D23" i="19"/>
  <c r="C23" i="19"/>
  <c r="N49" i="19" l="1"/>
  <c r="N20" i="19"/>
  <c r="B36" i="19"/>
  <c r="N36" i="19" s="1"/>
  <c r="N45" i="19"/>
  <c r="N32" i="19"/>
  <c r="N10" i="19"/>
  <c r="N6" i="19"/>
  <c r="N23" i="19"/>
  <c r="B28" i="18"/>
  <c r="B17" i="18"/>
  <c r="N17" i="18"/>
  <c r="N33" i="18"/>
  <c r="M32" i="18"/>
  <c r="L32" i="18"/>
  <c r="K32" i="18"/>
  <c r="J32" i="18"/>
  <c r="I32" i="18"/>
  <c r="H32" i="18"/>
  <c r="G32" i="18"/>
  <c r="F32" i="18"/>
  <c r="E32" i="18"/>
  <c r="D32" i="18"/>
  <c r="C32" i="18"/>
  <c r="N30" i="18"/>
  <c r="N29" i="18"/>
  <c r="N28" i="18"/>
  <c r="N22" i="18"/>
  <c r="M21" i="18"/>
  <c r="L21" i="18"/>
  <c r="K21" i="18"/>
  <c r="J21" i="18"/>
  <c r="I21" i="18"/>
  <c r="H21" i="18"/>
  <c r="G21" i="18"/>
  <c r="F21" i="18"/>
  <c r="E21" i="18"/>
  <c r="D21" i="18"/>
  <c r="C21" i="18"/>
  <c r="N19" i="18"/>
  <c r="N18" i="18"/>
  <c r="N9" i="18"/>
  <c r="M8" i="18"/>
  <c r="L8" i="18"/>
  <c r="K8" i="18"/>
  <c r="J8" i="18"/>
  <c r="I8" i="18"/>
  <c r="H8" i="18"/>
  <c r="G8" i="18"/>
  <c r="F8" i="18"/>
  <c r="E8" i="18"/>
  <c r="D8" i="18"/>
  <c r="C8" i="18"/>
  <c r="N6" i="18"/>
  <c r="N5" i="18"/>
  <c r="N4" i="18"/>
  <c r="B21" i="18" l="1"/>
  <c r="N21" i="18" s="1"/>
  <c r="B32" i="18"/>
  <c r="N32" i="18" s="1"/>
  <c r="B8" i="18"/>
  <c r="N8" i="18" s="1"/>
  <c r="N129" i="17"/>
  <c r="M128" i="17"/>
  <c r="L128" i="17"/>
  <c r="K128" i="17"/>
  <c r="J128" i="17"/>
  <c r="I128" i="17"/>
  <c r="H128" i="17"/>
  <c r="G128" i="17"/>
  <c r="F128" i="17"/>
  <c r="E128" i="17"/>
  <c r="D128" i="17"/>
  <c r="C128" i="17"/>
  <c r="N126" i="17"/>
  <c r="N125" i="17"/>
  <c r="B124" i="17"/>
  <c r="N124" i="17" s="1"/>
  <c r="N118" i="17"/>
  <c r="M117" i="17"/>
  <c r="L117" i="17"/>
  <c r="K117" i="17"/>
  <c r="J117" i="17"/>
  <c r="I117" i="17"/>
  <c r="H117" i="17"/>
  <c r="G117" i="17"/>
  <c r="F117" i="17"/>
  <c r="E117" i="17"/>
  <c r="D117" i="17"/>
  <c r="C117" i="17"/>
  <c r="N115" i="17"/>
  <c r="N114" i="17"/>
  <c r="B113" i="17"/>
  <c r="N113" i="17" s="1"/>
  <c r="N107" i="17"/>
  <c r="M106" i="17"/>
  <c r="L106" i="17"/>
  <c r="K106" i="17"/>
  <c r="J106" i="17"/>
  <c r="I106" i="17"/>
  <c r="H106" i="17"/>
  <c r="G106" i="17"/>
  <c r="F106" i="17"/>
  <c r="E106" i="17"/>
  <c r="D106" i="17"/>
  <c r="C106" i="17"/>
  <c r="N104" i="17"/>
  <c r="N103" i="17"/>
  <c r="B102" i="17"/>
  <c r="N102" i="17" s="1"/>
  <c r="B117" i="17" l="1"/>
  <c r="N117" i="17" s="1"/>
  <c r="B106" i="17"/>
  <c r="N106" i="17" s="1"/>
  <c r="B128" i="17"/>
  <c r="N128" i="17" s="1"/>
  <c r="B107" i="16"/>
  <c r="N107" i="16" s="1"/>
  <c r="B97" i="16"/>
  <c r="N97" i="16" s="1"/>
  <c r="B86" i="16"/>
  <c r="N86" i="16" s="1"/>
  <c r="N112" i="16"/>
  <c r="M111" i="16"/>
  <c r="L111" i="16"/>
  <c r="K111" i="16"/>
  <c r="J111" i="16"/>
  <c r="I111" i="16"/>
  <c r="H111" i="16"/>
  <c r="G111" i="16"/>
  <c r="F111" i="16"/>
  <c r="E111" i="16"/>
  <c r="D111" i="16"/>
  <c r="C111" i="16"/>
  <c r="N109" i="16"/>
  <c r="N108" i="16"/>
  <c r="N102" i="16"/>
  <c r="M101" i="16"/>
  <c r="L101" i="16"/>
  <c r="K101" i="16"/>
  <c r="J101" i="16"/>
  <c r="I101" i="16"/>
  <c r="H101" i="16"/>
  <c r="G101" i="16"/>
  <c r="F101" i="16"/>
  <c r="E101" i="16"/>
  <c r="D101" i="16"/>
  <c r="C101" i="16"/>
  <c r="N99" i="16"/>
  <c r="N98" i="16"/>
  <c r="N91" i="16"/>
  <c r="M90" i="16"/>
  <c r="L90" i="16"/>
  <c r="K90" i="16"/>
  <c r="J90" i="16"/>
  <c r="I90" i="16"/>
  <c r="H90" i="16"/>
  <c r="G90" i="16"/>
  <c r="F90" i="16"/>
  <c r="E90" i="16"/>
  <c r="D90" i="16"/>
  <c r="C90" i="16"/>
  <c r="N88" i="16"/>
  <c r="N87" i="16"/>
  <c r="B111" i="16" l="1"/>
  <c r="N111" i="16" s="1"/>
  <c r="B101" i="16"/>
  <c r="N101" i="16" s="1"/>
  <c r="B90" i="16"/>
  <c r="N90" i="16" s="1"/>
  <c r="N17" i="2"/>
  <c r="N22" i="2"/>
  <c r="M21" i="2"/>
  <c r="L21" i="2"/>
  <c r="K21" i="2"/>
  <c r="J21" i="2"/>
  <c r="I21" i="2"/>
  <c r="H21" i="2"/>
  <c r="G21" i="2"/>
  <c r="F21" i="2"/>
  <c r="E21" i="2"/>
  <c r="D21" i="2"/>
  <c r="C21" i="2"/>
  <c r="N19" i="2"/>
  <c r="N18" i="2"/>
  <c r="B40" i="2"/>
  <c r="N40" i="2" s="1"/>
  <c r="N41" i="2"/>
  <c r="N42" i="2"/>
  <c r="C44" i="2"/>
  <c r="D44" i="2"/>
  <c r="E44" i="2"/>
  <c r="F44" i="2"/>
  <c r="G44" i="2"/>
  <c r="H44" i="2"/>
  <c r="I44" i="2"/>
  <c r="J44" i="2"/>
  <c r="K44" i="2"/>
  <c r="L44" i="2"/>
  <c r="M44" i="2"/>
  <c r="B21" i="2" l="1"/>
  <c r="N21" i="2" s="1"/>
  <c r="B44" i="2"/>
  <c r="N44" i="2" s="1"/>
  <c r="B42" i="4"/>
  <c r="N45" i="2"/>
  <c r="B58" i="1"/>
  <c r="N63" i="1"/>
  <c r="L40" i="10" l="1"/>
  <c r="K40" i="10"/>
  <c r="J40" i="10"/>
  <c r="I40" i="10"/>
  <c r="H40" i="10"/>
  <c r="G40" i="10"/>
  <c r="F40" i="10"/>
  <c r="E40" i="10"/>
  <c r="D40" i="10"/>
  <c r="C40" i="10"/>
  <c r="B40" i="10"/>
  <c r="K67" i="9" l="1"/>
  <c r="J67" i="9"/>
  <c r="I67" i="9"/>
  <c r="H67" i="9"/>
  <c r="B41" i="7"/>
  <c r="N41" i="7" s="1"/>
  <c r="B40" i="7"/>
  <c r="N43" i="14"/>
  <c r="B63" i="13"/>
  <c r="F63" i="13"/>
  <c r="K63" i="13"/>
  <c r="K67" i="13" s="1"/>
  <c r="L63" i="13"/>
  <c r="L67" i="13" s="1"/>
  <c r="N64" i="13"/>
  <c r="N65" i="13"/>
  <c r="B67" i="13"/>
  <c r="C67" i="13"/>
  <c r="D67" i="13"/>
  <c r="E67" i="13"/>
  <c r="F67" i="13"/>
  <c r="G67" i="13"/>
  <c r="H67" i="13"/>
  <c r="I67" i="13"/>
  <c r="J67" i="13"/>
  <c r="M67" i="13"/>
  <c r="N68" i="13"/>
  <c r="N71" i="13"/>
  <c r="N45" i="10"/>
  <c r="M44" i="10"/>
  <c r="L44" i="10"/>
  <c r="K44" i="10"/>
  <c r="G44" i="10"/>
  <c r="F44" i="10"/>
  <c r="D44" i="10"/>
  <c r="C44" i="10"/>
  <c r="N42" i="10"/>
  <c r="N41" i="10"/>
  <c r="J44" i="10"/>
  <c r="I44" i="10"/>
  <c r="H44" i="10"/>
  <c r="E44" i="10"/>
  <c r="B44" i="10"/>
  <c r="N45" i="7"/>
  <c r="M44" i="7"/>
  <c r="L44" i="7"/>
  <c r="K44" i="7"/>
  <c r="J44" i="7"/>
  <c r="I44" i="7"/>
  <c r="H44" i="7"/>
  <c r="G44" i="7"/>
  <c r="F44" i="7"/>
  <c r="E44" i="7"/>
  <c r="D44" i="7"/>
  <c r="C44" i="7"/>
  <c r="N42" i="7"/>
  <c r="N63" i="13" l="1"/>
  <c r="B44" i="7"/>
  <c r="N44" i="7" s="1"/>
  <c r="N67" i="13"/>
  <c r="N44" i="10"/>
  <c r="N40" i="10"/>
  <c r="N40" i="7"/>
  <c r="B41" i="6"/>
  <c r="C67" i="11"/>
  <c r="B67" i="11"/>
  <c r="L102" i="11"/>
  <c r="K102" i="11"/>
  <c r="J102" i="11"/>
  <c r="I102" i="11"/>
  <c r="B61" i="11"/>
  <c r="B65" i="11" s="1"/>
  <c r="N70" i="11"/>
  <c r="M65" i="11"/>
  <c r="L65" i="11"/>
  <c r="K65" i="11"/>
  <c r="J65" i="11"/>
  <c r="I65" i="11"/>
  <c r="H65" i="11"/>
  <c r="G65" i="11"/>
  <c r="F65" i="11"/>
  <c r="E65" i="11"/>
  <c r="D65" i="11"/>
  <c r="C65" i="11"/>
  <c r="N63" i="11"/>
  <c r="N62" i="11"/>
  <c r="B79" i="11"/>
  <c r="N79" i="11" s="1"/>
  <c r="N80" i="11"/>
  <c r="N81" i="11"/>
  <c r="C83" i="11"/>
  <c r="D83" i="11"/>
  <c r="E83" i="11"/>
  <c r="F83" i="11"/>
  <c r="G83" i="11"/>
  <c r="H83" i="11"/>
  <c r="I83" i="11"/>
  <c r="J83" i="11"/>
  <c r="K83" i="11"/>
  <c r="L83" i="11"/>
  <c r="M83" i="11"/>
  <c r="B85" i="11"/>
  <c r="C85" i="11"/>
  <c r="N88" i="11"/>
  <c r="L96" i="11"/>
  <c r="K96" i="11"/>
  <c r="J96" i="11"/>
  <c r="I96" i="11"/>
  <c r="F96" i="11"/>
  <c r="N62" i="5"/>
  <c r="B57" i="5"/>
  <c r="N57" i="5" s="1"/>
  <c r="I90" i="5"/>
  <c r="M61" i="5"/>
  <c r="L61" i="5"/>
  <c r="K61" i="5"/>
  <c r="J61" i="5"/>
  <c r="I61" i="5"/>
  <c r="H61" i="5"/>
  <c r="G61" i="5"/>
  <c r="F61" i="5"/>
  <c r="E61" i="5"/>
  <c r="D61" i="5"/>
  <c r="C61" i="5"/>
  <c r="N59" i="5"/>
  <c r="N58" i="5"/>
  <c r="B43" i="4"/>
  <c r="N43" i="4" s="1"/>
  <c r="J113" i="4"/>
  <c r="I113" i="4"/>
  <c r="H113" i="4"/>
  <c r="G113" i="4"/>
  <c r="N47" i="4"/>
  <c r="M46" i="4"/>
  <c r="L46" i="4"/>
  <c r="K46" i="4"/>
  <c r="J46" i="4"/>
  <c r="I46" i="4"/>
  <c r="H46" i="4"/>
  <c r="G46" i="4"/>
  <c r="F46" i="4"/>
  <c r="E46" i="4"/>
  <c r="D46" i="4"/>
  <c r="C46" i="4"/>
  <c r="N44" i="4"/>
  <c r="K53" i="8"/>
  <c r="J53" i="8"/>
  <c r="I53" i="8"/>
  <c r="N46" i="8"/>
  <c r="M45" i="8"/>
  <c r="L45" i="8"/>
  <c r="K45" i="8"/>
  <c r="J45" i="8"/>
  <c r="I45" i="8"/>
  <c r="H45" i="8"/>
  <c r="G45" i="8"/>
  <c r="F45" i="8"/>
  <c r="E45" i="8"/>
  <c r="D45" i="8"/>
  <c r="C45" i="8"/>
  <c r="N43" i="8"/>
  <c r="N42" i="8"/>
  <c r="B41" i="8"/>
  <c r="B45" i="8" s="1"/>
  <c r="B50" i="3"/>
  <c r="N50" i="3" s="1"/>
  <c r="L72" i="3"/>
  <c r="N77" i="3"/>
  <c r="N55" i="3"/>
  <c r="M54" i="3"/>
  <c r="L54" i="3"/>
  <c r="K54" i="3"/>
  <c r="J54" i="3"/>
  <c r="I54" i="3"/>
  <c r="H54" i="3"/>
  <c r="G54" i="3"/>
  <c r="F54" i="3"/>
  <c r="E54" i="3"/>
  <c r="D54" i="3"/>
  <c r="C54" i="3"/>
  <c r="N52" i="3"/>
  <c r="N51" i="3"/>
  <c r="B42" i="6"/>
  <c r="N42" i="6" s="1"/>
  <c r="N46" i="6"/>
  <c r="M45" i="6"/>
  <c r="L45" i="6"/>
  <c r="K45" i="6"/>
  <c r="J45" i="6"/>
  <c r="I45" i="6"/>
  <c r="H45" i="6"/>
  <c r="G45" i="6"/>
  <c r="F45" i="6"/>
  <c r="E45" i="6"/>
  <c r="D45" i="6"/>
  <c r="C45" i="6"/>
  <c r="N43" i="6"/>
  <c r="N85" i="11" l="1"/>
  <c r="B83" i="11"/>
  <c r="N83" i="11"/>
  <c r="N67" i="11"/>
  <c r="N65" i="11"/>
  <c r="N61" i="11"/>
  <c r="B61" i="5"/>
  <c r="N61" i="5" s="1"/>
  <c r="B46" i="4"/>
  <c r="N46" i="4" s="1"/>
  <c r="N42" i="4"/>
  <c r="N45" i="8"/>
  <c r="N41" i="8"/>
  <c r="B54" i="3"/>
  <c r="N54" i="3" s="1"/>
  <c r="B45" i="6"/>
  <c r="N45" i="6" s="1"/>
  <c r="N41" i="6"/>
  <c r="N82" i="6"/>
  <c r="N57" i="6"/>
  <c r="B69" i="12" l="1"/>
  <c r="N69" i="12" s="1"/>
  <c r="B68" i="12"/>
  <c r="B56" i="12"/>
  <c r="N56" i="12" s="1"/>
  <c r="N73" i="12"/>
  <c r="M72" i="12"/>
  <c r="L72" i="12"/>
  <c r="K72" i="12"/>
  <c r="J72" i="12"/>
  <c r="I72" i="12"/>
  <c r="H72" i="12"/>
  <c r="G72" i="12"/>
  <c r="F72" i="12"/>
  <c r="E72" i="12"/>
  <c r="D72" i="12"/>
  <c r="C72" i="12"/>
  <c r="N70" i="12"/>
  <c r="N68" i="12"/>
  <c r="N61" i="12"/>
  <c r="M60" i="12"/>
  <c r="L60" i="12"/>
  <c r="K60" i="12"/>
  <c r="J60" i="12"/>
  <c r="I60" i="12"/>
  <c r="H60" i="12"/>
  <c r="G60" i="12"/>
  <c r="F60" i="12"/>
  <c r="E60" i="12"/>
  <c r="D60" i="12"/>
  <c r="C60" i="12"/>
  <c r="N58" i="12"/>
  <c r="N57" i="12"/>
  <c r="B45" i="12"/>
  <c r="B49" i="12" s="1"/>
  <c r="N50" i="12"/>
  <c r="M49" i="12"/>
  <c r="L49" i="12"/>
  <c r="K49" i="12"/>
  <c r="J49" i="12"/>
  <c r="I49" i="12"/>
  <c r="H49" i="12"/>
  <c r="G49" i="12"/>
  <c r="F49" i="12"/>
  <c r="E49" i="12"/>
  <c r="D49" i="12"/>
  <c r="C49" i="12"/>
  <c r="N47" i="12"/>
  <c r="N46" i="12"/>
  <c r="B81" i="12"/>
  <c r="B82" i="12"/>
  <c r="N66" i="1"/>
  <c r="M62" i="1"/>
  <c r="L62" i="1"/>
  <c r="K62" i="1"/>
  <c r="J62" i="1"/>
  <c r="I62" i="1"/>
  <c r="H62" i="1"/>
  <c r="G62" i="1"/>
  <c r="F62" i="1"/>
  <c r="E62" i="1"/>
  <c r="D62" i="1"/>
  <c r="C62" i="1"/>
  <c r="N60" i="1"/>
  <c r="N59" i="1"/>
  <c r="N58" i="1"/>
  <c r="B72" i="12" l="1"/>
  <c r="N72" i="12" s="1"/>
  <c r="N49" i="12"/>
  <c r="B60" i="12"/>
  <c r="N60" i="12" s="1"/>
  <c r="N45" i="12"/>
  <c r="B62" i="1"/>
  <c r="N62" i="1" s="1"/>
  <c r="L73" i="10"/>
  <c r="L77" i="10" s="1"/>
  <c r="J73" i="10"/>
  <c r="J77" i="10" s="1"/>
  <c r="E73" i="10"/>
  <c r="E77" i="10" s="1"/>
  <c r="D73" i="10"/>
  <c r="B73" i="10"/>
  <c r="N78" i="10"/>
  <c r="M77" i="10"/>
  <c r="K77" i="10"/>
  <c r="G77" i="10"/>
  <c r="C77" i="10"/>
  <c r="N75" i="10"/>
  <c r="N74" i="10"/>
  <c r="I77" i="10"/>
  <c r="H77" i="10"/>
  <c r="F77" i="10"/>
  <c r="M62" i="10"/>
  <c r="L62" i="10"/>
  <c r="I62" i="10"/>
  <c r="H62" i="10"/>
  <c r="G62" i="10"/>
  <c r="F62" i="10"/>
  <c r="E62" i="10"/>
  <c r="D62" i="10"/>
  <c r="C62" i="10"/>
  <c r="B62" i="10"/>
  <c r="L51" i="10"/>
  <c r="K51" i="10"/>
  <c r="J51" i="10"/>
  <c r="I51" i="10"/>
  <c r="H51" i="10"/>
  <c r="N73" i="10" l="1"/>
  <c r="B77" i="10"/>
  <c r="D77" i="10"/>
  <c r="F51" i="10"/>
  <c r="G51" i="10" s="1"/>
  <c r="G55" i="10" s="1"/>
  <c r="E51" i="10"/>
  <c r="E55" i="10" s="1"/>
  <c r="D51" i="10"/>
  <c r="D55" i="10" s="1"/>
  <c r="C51" i="10"/>
  <c r="B51" i="10"/>
  <c r="B55" i="10" s="1"/>
  <c r="N67" i="10"/>
  <c r="M66" i="10"/>
  <c r="L66" i="10"/>
  <c r="K66" i="10"/>
  <c r="J66" i="10"/>
  <c r="I66" i="10"/>
  <c r="H66" i="10"/>
  <c r="G66" i="10"/>
  <c r="F66" i="10"/>
  <c r="E66" i="10"/>
  <c r="D66" i="10"/>
  <c r="C66" i="10"/>
  <c r="B66" i="10"/>
  <c r="N64" i="10"/>
  <c r="N63" i="10"/>
  <c r="N62" i="10"/>
  <c r="N56" i="10"/>
  <c r="M55" i="10"/>
  <c r="L55" i="10"/>
  <c r="K55" i="10"/>
  <c r="C55" i="10"/>
  <c r="N53" i="10"/>
  <c r="N52" i="10"/>
  <c r="J55" i="10"/>
  <c r="I55" i="10"/>
  <c r="H55" i="10"/>
  <c r="F55" i="10" l="1"/>
  <c r="N55" i="10" s="1"/>
  <c r="N77" i="10"/>
  <c r="N66" i="10"/>
  <c r="N51" i="10"/>
  <c r="K6" i="15" l="1"/>
  <c r="J6" i="15"/>
  <c r="K8" i="15"/>
  <c r="I6" i="15"/>
  <c r="H6" i="15"/>
  <c r="H8" i="15" s="1"/>
  <c r="G6" i="15"/>
  <c r="G8" i="15" s="1"/>
  <c r="F6" i="15"/>
  <c r="F8" i="15" s="1"/>
  <c r="E6" i="15"/>
  <c r="D6" i="15"/>
  <c r="D8" i="15" s="1"/>
  <c r="C6" i="15"/>
  <c r="B6" i="15"/>
  <c r="N9" i="15"/>
  <c r="M8" i="15"/>
  <c r="L8" i="15"/>
  <c r="J8" i="15"/>
  <c r="I8" i="15"/>
  <c r="E8" i="15"/>
  <c r="C8" i="15"/>
  <c r="N5" i="15"/>
  <c r="N4" i="15"/>
  <c r="N6" i="15" l="1"/>
  <c r="B8" i="15"/>
  <c r="N8" i="15" s="1"/>
  <c r="J10" i="13"/>
  <c r="N10" i="13" s="1"/>
  <c r="B81" i="1"/>
  <c r="N81" i="1" s="1"/>
  <c r="N14" i="1" l="1"/>
  <c r="B54" i="4"/>
  <c r="B57" i="2"/>
  <c r="N62" i="2"/>
  <c r="N13" i="13" l="1"/>
  <c r="N59" i="4"/>
  <c r="M58" i="4"/>
  <c r="L58" i="4"/>
  <c r="K58" i="4"/>
  <c r="J58" i="4"/>
  <c r="I58" i="4"/>
  <c r="H58" i="4"/>
  <c r="G58" i="4"/>
  <c r="F58" i="4"/>
  <c r="E58" i="4"/>
  <c r="D58" i="4"/>
  <c r="C58" i="4"/>
  <c r="N56" i="4"/>
  <c r="B55" i="4"/>
  <c r="N55" i="4" s="1"/>
  <c r="B52" i="6"/>
  <c r="M56" i="6"/>
  <c r="L56" i="6"/>
  <c r="K56" i="6"/>
  <c r="J56" i="6"/>
  <c r="I56" i="6"/>
  <c r="H56" i="6"/>
  <c r="G56" i="6"/>
  <c r="F56" i="6"/>
  <c r="E56" i="6"/>
  <c r="D56" i="6"/>
  <c r="C56" i="6"/>
  <c r="N54" i="6"/>
  <c r="B53" i="6"/>
  <c r="N53" i="6" s="1"/>
  <c r="B79" i="5"/>
  <c r="G90" i="5"/>
  <c r="F90" i="5"/>
  <c r="N102" i="11"/>
  <c r="E96" i="11"/>
  <c r="D96" i="11"/>
  <c r="C96" i="11"/>
  <c r="C98" i="11"/>
  <c r="B96" i="11"/>
  <c r="B98" i="11"/>
  <c r="B51" i="7"/>
  <c r="B52" i="7"/>
  <c r="N10" i="7"/>
  <c r="C56" i="9"/>
  <c r="D56" i="9"/>
  <c r="E56" i="9"/>
  <c r="F56" i="9"/>
  <c r="G56" i="9"/>
  <c r="H56" i="9"/>
  <c r="I56" i="9"/>
  <c r="J56" i="9"/>
  <c r="K56" i="9"/>
  <c r="L56" i="9"/>
  <c r="M56" i="9"/>
  <c r="B56" i="9"/>
  <c r="B55" i="9"/>
  <c r="B49" i="14"/>
  <c r="B58" i="4" l="1"/>
  <c r="N58" i="4" s="1"/>
  <c r="B56" i="6"/>
  <c r="N56" i="6" s="1"/>
  <c r="N54" i="4"/>
  <c r="N52" i="6"/>
  <c r="G74" i="2"/>
  <c r="J84" i="10" l="1"/>
  <c r="I84" i="10"/>
  <c r="H84" i="10"/>
  <c r="H88" i="10" s="1"/>
  <c r="E84" i="10"/>
  <c r="E88" i="10" s="1"/>
  <c r="D84" i="10"/>
  <c r="C84" i="10"/>
  <c r="B84" i="10"/>
  <c r="B59" i="9"/>
  <c r="N55" i="9"/>
  <c r="N72" i="9"/>
  <c r="D53" i="8"/>
  <c r="C53" i="8"/>
  <c r="B53" i="8"/>
  <c r="B57" i="8" s="1"/>
  <c r="M57" i="8"/>
  <c r="L57" i="8"/>
  <c r="K57" i="8"/>
  <c r="J57" i="8"/>
  <c r="I57" i="8"/>
  <c r="H57" i="8"/>
  <c r="G57" i="8"/>
  <c r="F57" i="8"/>
  <c r="E57" i="8"/>
  <c r="D57" i="8"/>
  <c r="C57" i="8"/>
  <c r="N55" i="8"/>
  <c r="N54" i="8"/>
  <c r="N84" i="5"/>
  <c r="M83" i="5"/>
  <c r="L83" i="5"/>
  <c r="K83" i="5"/>
  <c r="J83" i="5"/>
  <c r="I83" i="5"/>
  <c r="H83" i="5"/>
  <c r="G83" i="5"/>
  <c r="F83" i="5"/>
  <c r="E83" i="5"/>
  <c r="D83" i="5"/>
  <c r="C83" i="5"/>
  <c r="B83" i="5"/>
  <c r="N81" i="5"/>
  <c r="N80" i="5"/>
  <c r="N79" i="5"/>
  <c r="N54" i="14"/>
  <c r="M53" i="14"/>
  <c r="L53" i="14"/>
  <c r="K53" i="14"/>
  <c r="J53" i="14"/>
  <c r="I53" i="14"/>
  <c r="H53" i="14"/>
  <c r="G53" i="14"/>
  <c r="F53" i="14"/>
  <c r="E53" i="14"/>
  <c r="D53" i="14"/>
  <c r="C53" i="14"/>
  <c r="B53" i="14"/>
  <c r="N51" i="14"/>
  <c r="N50" i="14"/>
  <c r="N49" i="14"/>
  <c r="N86" i="12"/>
  <c r="M85" i="12"/>
  <c r="L85" i="12"/>
  <c r="K85" i="12"/>
  <c r="J85" i="12"/>
  <c r="I85" i="12"/>
  <c r="H85" i="12"/>
  <c r="G85" i="12"/>
  <c r="F85" i="12"/>
  <c r="E85" i="12"/>
  <c r="D85" i="12"/>
  <c r="C85" i="12"/>
  <c r="B85" i="12"/>
  <c r="N83" i="12"/>
  <c r="N82" i="12"/>
  <c r="N81" i="12"/>
  <c r="N89" i="10"/>
  <c r="M88" i="10"/>
  <c r="L88" i="10"/>
  <c r="K88" i="10"/>
  <c r="J88" i="10"/>
  <c r="I88" i="10"/>
  <c r="G88" i="10"/>
  <c r="F88" i="10"/>
  <c r="D88" i="10"/>
  <c r="C88" i="10"/>
  <c r="B88" i="10"/>
  <c r="N86" i="10"/>
  <c r="N85" i="10"/>
  <c r="N60" i="9"/>
  <c r="M59" i="9"/>
  <c r="L59" i="9"/>
  <c r="K59" i="9"/>
  <c r="J59" i="9"/>
  <c r="I59" i="9"/>
  <c r="H59" i="9"/>
  <c r="G59" i="9"/>
  <c r="F59" i="9"/>
  <c r="E59" i="9"/>
  <c r="D59" i="9"/>
  <c r="C59" i="9"/>
  <c r="N57" i="9"/>
  <c r="N56" i="7"/>
  <c r="M55" i="7"/>
  <c r="L55" i="7"/>
  <c r="K55" i="7"/>
  <c r="J55" i="7"/>
  <c r="I55" i="7"/>
  <c r="H55" i="7"/>
  <c r="G55" i="7"/>
  <c r="F55" i="7"/>
  <c r="E55" i="7"/>
  <c r="D55" i="7"/>
  <c r="C55" i="7"/>
  <c r="N53" i="7"/>
  <c r="N52" i="7"/>
  <c r="N51" i="7"/>
  <c r="B61" i="3"/>
  <c r="B65" i="3" s="1"/>
  <c r="N66" i="3"/>
  <c r="M65" i="3"/>
  <c r="L65" i="3"/>
  <c r="K65" i="3"/>
  <c r="J65" i="3"/>
  <c r="I65" i="3"/>
  <c r="H65" i="3"/>
  <c r="G65" i="3"/>
  <c r="F65" i="3"/>
  <c r="E65" i="3"/>
  <c r="D65" i="3"/>
  <c r="C65" i="3"/>
  <c r="N63" i="3"/>
  <c r="N62" i="3"/>
  <c r="N61" i="3"/>
  <c r="B74" i="1"/>
  <c r="N79" i="1"/>
  <c r="M78" i="1"/>
  <c r="L78" i="1"/>
  <c r="K78" i="1"/>
  <c r="J78" i="1"/>
  <c r="I78" i="1"/>
  <c r="H78" i="1"/>
  <c r="G78" i="1"/>
  <c r="F78" i="1"/>
  <c r="E78" i="1"/>
  <c r="D78" i="1"/>
  <c r="B78" i="1"/>
  <c r="N76" i="1"/>
  <c r="N75" i="1"/>
  <c r="C78" i="1"/>
  <c r="M61" i="2"/>
  <c r="L61" i="2"/>
  <c r="K61" i="2"/>
  <c r="J61" i="2"/>
  <c r="I61" i="2"/>
  <c r="H61" i="2"/>
  <c r="G61" i="2"/>
  <c r="F61" i="2"/>
  <c r="E61" i="2"/>
  <c r="D61" i="2"/>
  <c r="C61" i="2"/>
  <c r="N59" i="2"/>
  <c r="B58" i="2"/>
  <c r="N58" i="2" s="1"/>
  <c r="N53" i="14" l="1"/>
  <c r="B61" i="2"/>
  <c r="N61" i="2" s="1"/>
  <c r="N83" i="5"/>
  <c r="N85" i="12"/>
  <c r="N84" i="10"/>
  <c r="N88" i="10"/>
  <c r="N56" i="9"/>
  <c r="N59" i="9"/>
  <c r="N57" i="8"/>
  <c r="N53" i="8"/>
  <c r="B55" i="7"/>
  <c r="N55" i="7" s="1"/>
  <c r="N65" i="3"/>
  <c r="N78" i="1"/>
  <c r="N74" i="1"/>
  <c r="N57" i="2"/>
  <c r="N90" i="4"/>
  <c r="B77" i="6"/>
  <c r="N85" i="6"/>
  <c r="B82" i="4"/>
  <c r="B62" i="6"/>
  <c r="B83" i="4"/>
  <c r="N83" i="4" s="1"/>
  <c r="B68" i="4"/>
  <c r="B69" i="4"/>
  <c r="H99" i="4"/>
  <c r="G99" i="4"/>
  <c r="N87" i="4"/>
  <c r="M86" i="4"/>
  <c r="L86" i="4"/>
  <c r="K86" i="4"/>
  <c r="J86" i="4"/>
  <c r="I86" i="4"/>
  <c r="H86" i="4"/>
  <c r="G86" i="4"/>
  <c r="F86" i="4"/>
  <c r="E86" i="4"/>
  <c r="D86" i="4"/>
  <c r="C86" i="4"/>
  <c r="N84" i="4"/>
  <c r="N73" i="4"/>
  <c r="M72" i="4"/>
  <c r="L72" i="4"/>
  <c r="K72" i="4"/>
  <c r="J72" i="4"/>
  <c r="I72" i="4"/>
  <c r="H72" i="4"/>
  <c r="G72" i="4"/>
  <c r="F72" i="4"/>
  <c r="E72" i="4"/>
  <c r="D72" i="4"/>
  <c r="C72" i="4"/>
  <c r="N70" i="4"/>
  <c r="N69" i="4"/>
  <c r="N68" i="4"/>
  <c r="B86" i="4" l="1"/>
  <c r="N86" i="4" s="1"/>
  <c r="N82" i="4"/>
  <c r="F114" i="4" l="1"/>
  <c r="F113" i="4"/>
  <c r="M81" i="6" l="1"/>
  <c r="L81" i="6"/>
  <c r="K81" i="6"/>
  <c r="J81" i="6"/>
  <c r="I81" i="6"/>
  <c r="H81" i="6"/>
  <c r="G81" i="6"/>
  <c r="F81" i="6"/>
  <c r="E81" i="6"/>
  <c r="D81" i="6"/>
  <c r="C81" i="6"/>
  <c r="N79" i="6"/>
  <c r="B78" i="6"/>
  <c r="N78" i="6" s="1"/>
  <c r="F106" i="6"/>
  <c r="B81" i="6" l="1"/>
  <c r="N81" i="6" s="1"/>
  <c r="N77" i="6"/>
  <c r="C74" i="2" l="1"/>
  <c r="D74" i="2"/>
  <c r="D78" i="2" s="1"/>
  <c r="N75" i="2"/>
  <c r="N76" i="2"/>
  <c r="B78" i="2"/>
  <c r="E78" i="2"/>
  <c r="F78" i="2"/>
  <c r="G78" i="2"/>
  <c r="H78" i="2"/>
  <c r="I78" i="2"/>
  <c r="J78" i="2"/>
  <c r="K78" i="2"/>
  <c r="L78" i="2"/>
  <c r="M78" i="2"/>
  <c r="N79" i="2"/>
  <c r="N80" i="2"/>
  <c r="N74" i="2" l="1"/>
  <c r="C78" i="2"/>
  <c r="N78" i="2" s="1"/>
  <c r="B93" i="6" l="1"/>
  <c r="N93" i="6" s="1"/>
  <c r="E92" i="6"/>
  <c r="E96" i="6" s="1"/>
  <c r="D92" i="6"/>
  <c r="D96" i="6" s="1"/>
  <c r="C92" i="6"/>
  <c r="C96" i="6" s="1"/>
  <c r="B92" i="6"/>
  <c r="B96" i="6" s="1"/>
  <c r="M96" i="6"/>
  <c r="L96" i="6"/>
  <c r="K96" i="6"/>
  <c r="J96" i="6"/>
  <c r="I96" i="6"/>
  <c r="H96" i="6"/>
  <c r="G96" i="6"/>
  <c r="F96" i="6"/>
  <c r="N94" i="6"/>
  <c r="M103" i="4"/>
  <c r="L103" i="4"/>
  <c r="K103" i="4"/>
  <c r="J103" i="4"/>
  <c r="I103" i="4"/>
  <c r="H103" i="4"/>
  <c r="G103" i="4"/>
  <c r="F103" i="4"/>
  <c r="C103" i="4"/>
  <c r="N101" i="4"/>
  <c r="D100" i="4"/>
  <c r="N100" i="4" s="1"/>
  <c r="E99" i="4"/>
  <c r="E103" i="4" s="1"/>
  <c r="D99" i="4"/>
  <c r="B99" i="4"/>
  <c r="B103" i="4" s="1"/>
  <c r="B68" i="5"/>
  <c r="B72" i="5" s="1"/>
  <c r="N73" i="5"/>
  <c r="M72" i="5"/>
  <c r="L72" i="5"/>
  <c r="K72" i="5"/>
  <c r="J72" i="5"/>
  <c r="I72" i="5"/>
  <c r="H72" i="5"/>
  <c r="G72" i="5"/>
  <c r="F72" i="5"/>
  <c r="E72" i="5"/>
  <c r="D72" i="5"/>
  <c r="C72" i="5"/>
  <c r="N70" i="5"/>
  <c r="N69" i="5"/>
  <c r="C66" i="6"/>
  <c r="B63" i="6"/>
  <c r="N63" i="6" s="1"/>
  <c r="M66" i="6"/>
  <c r="L66" i="6"/>
  <c r="K66" i="6"/>
  <c r="J66" i="6"/>
  <c r="I66" i="6"/>
  <c r="H66" i="6"/>
  <c r="G66" i="6"/>
  <c r="F66" i="6"/>
  <c r="N64" i="6"/>
  <c r="E66" i="6"/>
  <c r="D66" i="6"/>
  <c r="D103" i="4" l="1"/>
  <c r="N103" i="4" s="1"/>
  <c r="B66" i="6"/>
  <c r="N66" i="6" s="1"/>
  <c r="N92" i="6"/>
  <c r="N96" i="6"/>
  <c r="B72" i="4"/>
  <c r="N72" i="4" s="1"/>
  <c r="N99" i="4"/>
  <c r="N72" i="5"/>
  <c r="N68" i="5"/>
  <c r="N62" i="6"/>
  <c r="M9" i="7"/>
  <c r="L9" i="7"/>
  <c r="K9" i="7"/>
  <c r="J9" i="7"/>
  <c r="I9" i="7"/>
  <c r="H9" i="7"/>
  <c r="G9" i="7"/>
  <c r="F9" i="7"/>
  <c r="E9" i="7"/>
  <c r="B9" i="7"/>
  <c r="D9" i="7"/>
  <c r="C9" i="7"/>
  <c r="N95" i="5"/>
  <c r="F94" i="5"/>
  <c r="C90" i="5"/>
  <c r="C94" i="5" s="1"/>
  <c r="B90" i="5"/>
  <c r="E106" i="6"/>
  <c r="D106" i="6"/>
  <c r="D110" i="6" s="1"/>
  <c r="C106" i="6"/>
  <c r="B106" i="6"/>
  <c r="B107" i="6"/>
  <c r="N107" i="6" s="1"/>
  <c r="E113" i="4"/>
  <c r="E117" i="4" s="1"/>
  <c r="D113" i="4"/>
  <c r="D114" i="4"/>
  <c r="B113" i="4"/>
  <c r="B117" i="4" s="1"/>
  <c r="M9" i="14"/>
  <c r="L9" i="14"/>
  <c r="K9" i="14"/>
  <c r="J9" i="14"/>
  <c r="I9" i="14"/>
  <c r="H9" i="14"/>
  <c r="G9" i="14"/>
  <c r="F9" i="14"/>
  <c r="E9" i="14"/>
  <c r="D9" i="14"/>
  <c r="C9" i="14"/>
  <c r="B9" i="14"/>
  <c r="N7" i="14"/>
  <c r="N6" i="14"/>
  <c r="N5" i="14"/>
  <c r="M9" i="13"/>
  <c r="L9" i="13"/>
  <c r="K9" i="13"/>
  <c r="J9" i="13"/>
  <c r="I9" i="13"/>
  <c r="H9" i="13"/>
  <c r="G9" i="13"/>
  <c r="F9" i="13"/>
  <c r="E9" i="13"/>
  <c r="D9" i="13"/>
  <c r="C9" i="13"/>
  <c r="B9" i="13"/>
  <c r="N7" i="13"/>
  <c r="N6" i="13"/>
  <c r="N5" i="13"/>
  <c r="M10" i="12"/>
  <c r="L10" i="12"/>
  <c r="K10" i="12"/>
  <c r="J10" i="12"/>
  <c r="I10" i="12"/>
  <c r="H10" i="12"/>
  <c r="G10" i="12"/>
  <c r="F10" i="12"/>
  <c r="E10" i="12"/>
  <c r="D10" i="12"/>
  <c r="C10" i="12"/>
  <c r="B10" i="12"/>
  <c r="N8" i="12"/>
  <c r="N7" i="12"/>
  <c r="N6" i="12"/>
  <c r="M100" i="11"/>
  <c r="L100" i="11"/>
  <c r="K100" i="11"/>
  <c r="J100" i="11"/>
  <c r="I100" i="11"/>
  <c r="H100" i="11"/>
  <c r="G100" i="11"/>
  <c r="F100" i="11"/>
  <c r="E100" i="11"/>
  <c r="D100" i="11"/>
  <c r="C100" i="11"/>
  <c r="B100" i="11"/>
  <c r="N98" i="11"/>
  <c r="N97" i="11"/>
  <c r="N96" i="11"/>
  <c r="M9" i="10"/>
  <c r="L9" i="10"/>
  <c r="K9" i="10"/>
  <c r="J9" i="10"/>
  <c r="I9" i="10"/>
  <c r="H9" i="10"/>
  <c r="G9" i="10"/>
  <c r="F9" i="10"/>
  <c r="E9" i="10"/>
  <c r="D9" i="10"/>
  <c r="C9" i="10"/>
  <c r="B9" i="10"/>
  <c r="N7" i="10"/>
  <c r="N6" i="10"/>
  <c r="N5" i="10"/>
  <c r="M71" i="9"/>
  <c r="L71" i="9"/>
  <c r="K71" i="9"/>
  <c r="J71" i="9"/>
  <c r="I71" i="9"/>
  <c r="H71" i="9"/>
  <c r="G71" i="9"/>
  <c r="F71" i="9"/>
  <c r="E71" i="9"/>
  <c r="D71" i="9"/>
  <c r="C71" i="9"/>
  <c r="B71" i="9"/>
  <c r="N69" i="9"/>
  <c r="N68" i="9"/>
  <c r="N67" i="9"/>
  <c r="N7" i="7"/>
  <c r="N6" i="7"/>
  <c r="M110" i="6"/>
  <c r="L110" i="6"/>
  <c r="K110" i="6"/>
  <c r="J110" i="6"/>
  <c r="I110" i="6"/>
  <c r="H110" i="6"/>
  <c r="G110" i="6"/>
  <c r="F110" i="6"/>
  <c r="E110" i="6"/>
  <c r="N108" i="6"/>
  <c r="M94" i="5"/>
  <c r="L94" i="5"/>
  <c r="K94" i="5"/>
  <c r="J94" i="5"/>
  <c r="I94" i="5"/>
  <c r="H94" i="5"/>
  <c r="G94" i="5"/>
  <c r="E94" i="5"/>
  <c r="D94" i="5"/>
  <c r="N92" i="5"/>
  <c r="N91" i="5"/>
  <c r="M117" i="4"/>
  <c r="L117" i="4"/>
  <c r="K117" i="4"/>
  <c r="J117" i="4"/>
  <c r="I117" i="4"/>
  <c r="H117" i="4"/>
  <c r="G117" i="4"/>
  <c r="F117" i="4"/>
  <c r="C117" i="4"/>
  <c r="N115" i="4"/>
  <c r="D117" i="4" l="1"/>
  <c r="N117" i="4" s="1"/>
  <c r="N9" i="13"/>
  <c r="N100" i="11"/>
  <c r="N10" i="12"/>
  <c r="N9" i="14"/>
  <c r="N9" i="10"/>
  <c r="N71" i="9"/>
  <c r="N113" i="4"/>
  <c r="N106" i="6"/>
  <c r="C110" i="6"/>
  <c r="B110" i="6"/>
  <c r="N114" i="4"/>
  <c r="N9" i="7"/>
  <c r="N5" i="7"/>
  <c r="N90" i="5"/>
  <c r="B94" i="5"/>
  <c r="N94" i="5" s="1"/>
  <c r="M76" i="3"/>
  <c r="L76" i="3"/>
  <c r="K76" i="3"/>
  <c r="J76" i="3"/>
  <c r="I76" i="3"/>
  <c r="H76" i="3"/>
  <c r="G76" i="3"/>
  <c r="F76" i="3"/>
  <c r="E76" i="3"/>
  <c r="B76" i="3"/>
  <c r="N74" i="3"/>
  <c r="N73" i="3"/>
  <c r="D76" i="3"/>
  <c r="N72" i="3"/>
  <c r="N110" i="6" l="1"/>
  <c r="C76" i="3"/>
  <c r="N76" i="3" s="1"/>
  <c r="N94" i="1"/>
  <c r="D91" i="1" l="1"/>
  <c r="C87" i="1"/>
  <c r="C91" i="1" s="1"/>
  <c r="N92" i="1"/>
  <c r="M91" i="1"/>
  <c r="L91" i="1"/>
  <c r="K91" i="1"/>
  <c r="J91" i="1"/>
  <c r="I91" i="1"/>
  <c r="H91" i="1"/>
  <c r="G91" i="1"/>
  <c r="F91" i="1"/>
  <c r="E91" i="1"/>
  <c r="N89" i="1"/>
  <c r="B88" i="1"/>
  <c r="N88" i="1" s="1"/>
  <c r="B87" i="1"/>
  <c r="B91" i="1" l="1"/>
  <c r="N91" i="1" s="1"/>
  <c r="N87" i="1"/>
  <c r="N10" i="2"/>
  <c r="N6" i="1"/>
  <c r="M9" i="2"/>
  <c r="L9" i="2"/>
  <c r="K9" i="2"/>
  <c r="J9" i="2"/>
  <c r="I9" i="2"/>
  <c r="H9" i="2"/>
  <c r="G9" i="2"/>
  <c r="F9" i="2"/>
  <c r="D9" i="2"/>
  <c r="N7" i="2"/>
  <c r="N6" i="2"/>
  <c r="E9" i="2"/>
  <c r="C9" i="2"/>
  <c r="B9" i="2"/>
  <c r="N10" i="1"/>
  <c r="L9" i="1"/>
  <c r="J9" i="1"/>
  <c r="I9" i="1"/>
  <c r="H9" i="1"/>
  <c r="G9" i="1"/>
  <c r="F9" i="1"/>
  <c r="E9" i="1"/>
  <c r="D9" i="1"/>
  <c r="C9" i="1"/>
  <c r="N7" i="1"/>
  <c r="M9" i="1"/>
  <c r="K9" i="1"/>
  <c r="B9" i="1" l="1"/>
  <c r="N9" i="1" s="1"/>
  <c r="N9" i="2"/>
  <c r="N5" i="2"/>
  <c r="N5" i="1"/>
</calcChain>
</file>

<file path=xl/sharedStrings.xml><?xml version="1.0" encoding="utf-8"?>
<sst xmlns="http://schemas.openxmlformats.org/spreadsheetml/2006/main" count="3637" uniqueCount="450">
  <si>
    <t>Prognosen for 2013/2014 pr. 15.07.2013</t>
  </si>
  <si>
    <t>Skovmusen</t>
  </si>
  <si>
    <t>august</t>
  </si>
  <si>
    <t>september</t>
  </si>
  <si>
    <t>oktober</t>
  </si>
  <si>
    <t xml:space="preserve">november </t>
  </si>
  <si>
    <t>december</t>
  </si>
  <si>
    <t>januar</t>
  </si>
  <si>
    <t>februar</t>
  </si>
  <si>
    <t xml:space="preserve">marts </t>
  </si>
  <si>
    <t>april</t>
  </si>
  <si>
    <t>maj</t>
  </si>
  <si>
    <t>juni</t>
  </si>
  <si>
    <t>juli</t>
  </si>
  <si>
    <t>Gnms.</t>
  </si>
  <si>
    <t>BH-børn</t>
  </si>
  <si>
    <t>Deltid</t>
  </si>
  <si>
    <t>&lt; 3 år</t>
  </si>
  <si>
    <t>2013/2014</t>
  </si>
  <si>
    <t>Nye børn</t>
  </si>
  <si>
    <t>Oksbøl bhv</t>
  </si>
  <si>
    <t>18 skolebørn</t>
  </si>
  <si>
    <t>1 udm 31/7</t>
  </si>
  <si>
    <t>SKOVMUSEN 25 0000 4</t>
  </si>
  <si>
    <t>2012/2013</t>
  </si>
  <si>
    <t>OKSBØL BØRNEHAVE 2510001</t>
  </si>
  <si>
    <t>2 udm 15/9</t>
  </si>
  <si>
    <t>heraf 1 som egentlig var tiltænkt Oks bh</t>
  </si>
  <si>
    <t>1 nej tak</t>
  </si>
  <si>
    <t>87 garderober</t>
  </si>
  <si>
    <t>40 pladser i skovhytten (store børn)</t>
  </si>
  <si>
    <t>Til Oksbøl bhv</t>
  </si>
  <si>
    <t>heraf 1 9/9</t>
  </si>
  <si>
    <t>Maja udm 30/9</t>
  </si>
  <si>
    <t>081010=16/9</t>
  </si>
  <si>
    <t>260609= 9/9</t>
  </si>
  <si>
    <t>heraf 1 søsk</t>
  </si>
  <si>
    <t>heraf 2 søsk</t>
  </si>
  <si>
    <t>6 skolebørn</t>
  </si>
  <si>
    <t xml:space="preserve">Faktiske tal 2013/2014 </t>
  </si>
  <si>
    <t>BILLUM BØRNEHAVE 210 00 11</t>
  </si>
  <si>
    <t>090710 på fuldtid 25/10</t>
  </si>
  <si>
    <t>Billum bhv</t>
  </si>
  <si>
    <t>Outrup</t>
  </si>
  <si>
    <t>15 skolebørn</t>
  </si>
  <si>
    <t>heraf 1 19/8</t>
  </si>
  <si>
    <t>deltid 240909 udm 15/10</t>
  </si>
  <si>
    <t>heraf 1 21/10</t>
  </si>
  <si>
    <t>heraf 1 16/11</t>
  </si>
  <si>
    <t>søsk</t>
  </si>
  <si>
    <t>Mælkevejen</t>
  </si>
  <si>
    <t>2014/2015</t>
  </si>
  <si>
    <t>21 skolebørn</t>
  </si>
  <si>
    <t>1 udm 31/3</t>
  </si>
  <si>
    <t>(1 søsk)</t>
  </si>
  <si>
    <t>Lundparken</t>
  </si>
  <si>
    <t>2 udm 31/8</t>
  </si>
  <si>
    <t>heraf 1 deltid</t>
  </si>
  <si>
    <t>1 udm 8/9</t>
  </si>
  <si>
    <t>1 udm 31/10</t>
  </si>
  <si>
    <t>090710 dum 11/8</t>
  </si>
  <si>
    <t>heraf 010910 12/8=0,75</t>
  </si>
  <si>
    <t>120209 udm 15/8=0,5</t>
  </si>
  <si>
    <t>22 skolebørn</t>
  </si>
  <si>
    <t>1 udm 31/8</t>
  </si>
  <si>
    <t>4 udm 30/9</t>
  </si>
  <si>
    <t>2 udm 31/12</t>
  </si>
  <si>
    <t>2 udm 31/1</t>
  </si>
  <si>
    <t>Årre bhv</t>
  </si>
  <si>
    <t>Agerbæk</t>
  </si>
  <si>
    <t>Vuggestuebørn</t>
  </si>
  <si>
    <t>Max 12</t>
  </si>
  <si>
    <t>25 skolebørn</t>
  </si>
  <si>
    <t>Vuggestuen</t>
  </si>
  <si>
    <t>1 = 15/8</t>
  </si>
  <si>
    <t>1 udm 28/2</t>
  </si>
  <si>
    <t>2 udm 31/3</t>
  </si>
  <si>
    <t>1 udm 30/4</t>
  </si>
  <si>
    <t>3 udm 31/5</t>
  </si>
  <si>
    <t>7 skolebørn</t>
  </si>
  <si>
    <t>Ølgod</t>
  </si>
  <si>
    <t>vuggestuen</t>
  </si>
  <si>
    <t>Max 12 børn</t>
  </si>
  <si>
    <t>indr Casbian 300710</t>
  </si>
  <si>
    <t>51 børn årg 07/08</t>
  </si>
  <si>
    <t>heraf 1 deltid sfo 15/5</t>
  </si>
  <si>
    <t>(indregnet 2 oversiddere)</t>
  </si>
  <si>
    <t>2 udm 30/6</t>
  </si>
  <si>
    <t>10 skolebørn</t>
  </si>
  <si>
    <t>Garderobepladser 95</t>
  </si>
  <si>
    <t>Prognose 2014/2015 pr. 07.11.2013</t>
  </si>
  <si>
    <t>12 skolebørn</t>
  </si>
  <si>
    <t>29 skolebørn</t>
  </si>
  <si>
    <t>24 skolebørn</t>
  </si>
  <si>
    <t>heraf 2 deltid</t>
  </si>
  <si>
    <t>Faktiske tal 2013/2014 - hvis alle ikke søsk børn sendes til Lunde</t>
  </si>
  <si>
    <t>Faktiske tal 2013/2014 - hvis alle ikke søsk børn fra Outrup sendes til Lunde</t>
  </si>
  <si>
    <t>Børn fra Outrup</t>
  </si>
  <si>
    <t>MÆLKEVEJEN - NR.NEBEL</t>
  </si>
  <si>
    <t>LUNDPARKEN - LUNDE</t>
  </si>
  <si>
    <t>Børn til Lunde</t>
  </si>
  <si>
    <t>1 udm 30/11</t>
  </si>
  <si>
    <t>Aftalt på møde 08.11.2013</t>
  </si>
  <si>
    <t>at alle ikke søsk.børn fra 1/1 2014</t>
  </si>
  <si>
    <t>sendes til Lundparken/Mælkevejen</t>
  </si>
  <si>
    <t>Fra skovmusen</t>
  </si>
  <si>
    <t>(Romeo)</t>
  </si>
  <si>
    <t>Prognose 2014/2015 pr. 05.12.2013</t>
  </si>
  <si>
    <t>1 udm 15/12</t>
  </si>
  <si>
    <t>Nej tak - valgt Billum</t>
  </si>
  <si>
    <t>Lundparken vælger overflytning til Outrup 1/8</t>
  </si>
  <si>
    <t>Prognose 2014/2015 pr. 05.12.2013 - med børn fra Outrup for at hive gennemsnit op på 35</t>
  </si>
  <si>
    <t>Thea 170109 fuldtid 9/12</t>
  </si>
  <si>
    <t>Faktiske tal for 2012/2013 - med overflytning til Oksbøl bhv fra maj 2014</t>
  </si>
  <si>
    <t>Med overflytning til Lundparken pr. 05.12.2013</t>
  </si>
  <si>
    <t>110609 udm 19/1</t>
  </si>
  <si>
    <t>Thea 170109 fuld tid 9/12</t>
  </si>
  <si>
    <t>NEJ tak- valgt Billum</t>
  </si>
  <si>
    <t>2 overflyttere fra Lundparken</t>
  </si>
  <si>
    <t>Forudsætter at de 2 "Outrup"-børn der er tilbudt</t>
  </si>
  <si>
    <t>Til Lunde</t>
  </si>
  <si>
    <t xml:space="preserve"> Fra Outrup</t>
  </si>
  <si>
    <t>start 15/1</t>
  </si>
  <si>
    <t>flygtninge start 16/1</t>
  </si>
  <si>
    <t>Hvis de 3 Skovmusen børn ikke overflyttes ender den på 46,73</t>
  </si>
  <si>
    <t>Hvis flygtningebarnet ikke starter i Oksbøl bhv + 4 fra skovmusen = 46,94</t>
  </si>
  <si>
    <t>Prognose for 2014/2015 pr. 15.1 2014</t>
  </si>
  <si>
    <t>17 skolebørn</t>
  </si>
  <si>
    <t>Prognosen for 2014/2015 pr. 15.01.2014</t>
  </si>
  <si>
    <t>13 skolebørn</t>
  </si>
  <si>
    <t>1 udm 11/8</t>
  </si>
  <si>
    <t>1 udm 13/10</t>
  </si>
  <si>
    <t>Horne</t>
  </si>
  <si>
    <t>6 udm 30/11</t>
  </si>
  <si>
    <t>1 junibarn udm 31/7</t>
  </si>
  <si>
    <t>2 udm 31/7</t>
  </si>
  <si>
    <t>1 udm 30/9</t>
  </si>
  <si>
    <t>1 udm 31/1</t>
  </si>
  <si>
    <t>4 udm 28/2</t>
  </si>
  <si>
    <t>Hvis flygn.barnet starter + 4 overflyttere fra Oksbøl=  47,48 + 1 overfl 46,98</t>
  </si>
  <si>
    <t>1 udm 15/8</t>
  </si>
  <si>
    <t>(opstart 16/8)</t>
  </si>
  <si>
    <t xml:space="preserve">3 udm 31/1 </t>
  </si>
  <si>
    <t>20 skolebørn</t>
  </si>
  <si>
    <t>(1 opstart 16/3)</t>
  </si>
  <si>
    <t>26 skolebørn</t>
  </si>
  <si>
    <t>(heraf 1 deltid)</t>
  </si>
  <si>
    <t>291010=15/8</t>
  </si>
  <si>
    <t>4 børn 1/8 og 3 15/8</t>
  </si>
  <si>
    <t>230910=1/8</t>
  </si>
  <si>
    <t>211110=1/8</t>
  </si>
  <si>
    <t>041010=1/9</t>
  </si>
  <si>
    <t>børnehaven</t>
  </si>
  <si>
    <t>Børnehaven</t>
  </si>
  <si>
    <t>1=16/6</t>
  </si>
  <si>
    <t>2 (1=15/8)</t>
  </si>
  <si>
    <t>1 udm 30/6</t>
  </si>
  <si>
    <t>(heraf 1 16/12)</t>
  </si>
  <si>
    <t>30 skolebørn</t>
  </si>
  <si>
    <t>Prognose 2014/2015 pr. 15.01.14</t>
  </si>
  <si>
    <t xml:space="preserve">På udvalgsmøde januar 2014 er det </t>
  </si>
  <si>
    <t xml:space="preserve">besluttet at Lundparken ikke skal </t>
  </si>
  <si>
    <t>fyldes op til 35.</t>
  </si>
  <si>
    <t>(heraf 1 20/1)</t>
  </si>
  <si>
    <t>Prognose 2014/2015 pr. 15.01.2014</t>
  </si>
  <si>
    <t>(silas 221108 venter)</t>
  </si>
  <si>
    <t>54 skolebørn ud 15/5</t>
  </si>
  <si>
    <t>2 udm 15/2</t>
  </si>
  <si>
    <t>Ventelistebørnene til Skovmusen og Oksbøl bhv. : Pladsanvisningen har i flere tilfælde sat prioritet på efter adresse og efter hvor søskende har været</t>
  </si>
  <si>
    <t>indmeldt. Jeg kan derfor ikke være 100% sikker på at det er hvad forældrene i sidste ende ønsker og vælger. I prognosen har jeg indregnet at</t>
  </si>
  <si>
    <t>3 af de 22 børn ikke indmeldes i oksbøl børnehave (sept. November, januar -tilfældigt udvalgt). Det giver et gennemsnit på 40,58 som I første gang</t>
  </si>
  <si>
    <t>vil være det prognosetal der fremgår af opgørelsen. På møde med Anette Brodde 6/1 2014 blev dette anbefalet. 16/1 2014/dvho</t>
  </si>
  <si>
    <t>1 ny</t>
  </si>
  <si>
    <t>3 nye</t>
  </si>
  <si>
    <t>1 udm. 28/2</t>
  </si>
  <si>
    <t>2 udm 30/11</t>
  </si>
  <si>
    <t>1 udm 1/2</t>
  </si>
  <si>
    <t>1 udm 1/5</t>
  </si>
  <si>
    <t>1 udm 1/4</t>
  </si>
  <si>
    <t>1 udm 1/6</t>
  </si>
  <si>
    <t>Børnehave før tid 2013</t>
  </si>
  <si>
    <t xml:space="preserve">april </t>
  </si>
  <si>
    <t xml:space="preserve">maj </t>
  </si>
  <si>
    <t>aug</t>
  </si>
  <si>
    <t>november</t>
  </si>
  <si>
    <t>040210=23/1</t>
  </si>
  <si>
    <t>250310=23/1</t>
  </si>
  <si>
    <t>100210=17/1</t>
  </si>
  <si>
    <t>030410=1/2</t>
  </si>
  <si>
    <t>080310=1/2</t>
  </si>
  <si>
    <t>140410=1/3</t>
  </si>
  <si>
    <t>130410=1/3</t>
  </si>
  <si>
    <t>160610=1/4</t>
  </si>
  <si>
    <t>100510=1/4</t>
  </si>
  <si>
    <t>110510=1/4</t>
  </si>
  <si>
    <t>090710=1/5</t>
  </si>
  <si>
    <t>270610=1/5</t>
  </si>
  <si>
    <t>180710=13/5</t>
  </si>
  <si>
    <t>070610=16/5</t>
  </si>
  <si>
    <t>080610=16/5</t>
  </si>
  <si>
    <t>030710=27/5</t>
  </si>
  <si>
    <t>060810=1/6</t>
  </si>
  <si>
    <t>140710=4/6</t>
  </si>
  <si>
    <t>100810=1/7</t>
  </si>
  <si>
    <t>010910=12/8</t>
  </si>
  <si>
    <t>151010=1/9</t>
  </si>
  <si>
    <t>301010=1/9</t>
  </si>
  <si>
    <t>021010=26/9</t>
  </si>
  <si>
    <t>211110=15/10</t>
  </si>
  <si>
    <t>Tilbagemelding til Dagplejen 24/1 2014</t>
  </si>
  <si>
    <t xml:space="preserve"> fuld tid 24/2</t>
  </si>
  <si>
    <t>161110 + 010609</t>
  </si>
  <si>
    <t>Prognose for 2015/2016 pr. 1.4 2014</t>
  </si>
  <si>
    <t>Prognose for 2014/2015 pr. 1.4.2014</t>
  </si>
  <si>
    <t>1 udm. 31/3</t>
  </si>
  <si>
    <t>3 udm 31/12</t>
  </si>
  <si>
    <t>Prognose for 2016/2017 pr. 1.4 2014</t>
  </si>
  <si>
    <t>2 udm 30/9</t>
  </si>
  <si>
    <t>2 udm 31/10</t>
  </si>
  <si>
    <t>1 udm 31/5</t>
  </si>
  <si>
    <t>Ej født børn endnu til børnehavestart april 2016</t>
  </si>
  <si>
    <t>2 udm 28/2</t>
  </si>
  <si>
    <t>2 udm. 28/2</t>
  </si>
  <si>
    <t xml:space="preserve">1 barn allerede på venteliste </t>
  </si>
  <si>
    <t>Tror på at der nok skal komme en mere</t>
  </si>
  <si>
    <t>1 udm 31/5(deltid)</t>
  </si>
  <si>
    <t>På deltid</t>
  </si>
  <si>
    <t>Prognose for 2014/2015 pr. 1/4 2014</t>
  </si>
  <si>
    <t>Prognose for 2015/2016 pr. 1/4 2014</t>
  </si>
  <si>
    <t>Prognose for 2016/2017 pr. 1/4 2014</t>
  </si>
  <si>
    <t>16 skolebørn</t>
  </si>
  <si>
    <t>(årg 2010)</t>
  </si>
  <si>
    <t>(årg 2009)</t>
  </si>
  <si>
    <t>heraf en deltid</t>
  </si>
  <si>
    <t>Børnene ikke født endnu</t>
  </si>
  <si>
    <t>Prognose 2014/2015 pr. 15.05.14</t>
  </si>
  <si>
    <t>Prognose for 2014/2015 pr. 15.5.2014</t>
  </si>
  <si>
    <t>2 udm 31/5</t>
  </si>
  <si>
    <t>11 skolebørn</t>
  </si>
  <si>
    <t>Prognose for 2014/2015 pr. 15.5 2014</t>
  </si>
  <si>
    <t>heraf 1 start 26/3</t>
  </si>
  <si>
    <t>Prognose 2014/2015 pr. 15.05.2014</t>
  </si>
  <si>
    <t>heraf 1 16/6</t>
  </si>
  <si>
    <t>heraf 1 10/3</t>
  </si>
  <si>
    <t>1 udm 14/5</t>
  </si>
  <si>
    <t>heraf 1 16/12</t>
  </si>
  <si>
    <t>heraf 1 22/4</t>
  </si>
  <si>
    <t>2 udm 30/4</t>
  </si>
  <si>
    <t>19 skolebørn</t>
  </si>
  <si>
    <t>Prognosen for 2014/2015 pr. 15.05.2014</t>
  </si>
  <si>
    <t xml:space="preserve">28 skolebørn </t>
  </si>
  <si>
    <t>300410=fuldtid 1/5</t>
  </si>
  <si>
    <t>5 udm 15/5 til Ølgod sfo</t>
  </si>
  <si>
    <t>opstart 22/4</t>
  </si>
  <si>
    <t>1 udm 15/6</t>
  </si>
  <si>
    <t>heraf 1 13/5</t>
  </si>
  <si>
    <t>34 skolebørn</t>
  </si>
  <si>
    <t>vil være det prognosetal der fremgår af opgørelsen. På møde med Anette Brodde 6/1 2014 blev dette anbefalet. 15/5-2014/dvho</t>
  </si>
  <si>
    <t>6 af de 24 børn ikke indmeldes i oksbøl børnehave (1. sept, 3 okt. 1. November, 1. februar -tilfældigt udvalgt). Det giver et gennemsnit på 41,08 som I første gang</t>
  </si>
  <si>
    <t>2 udm 1/2</t>
  </si>
  <si>
    <t>Prognose for 2014/2015 pr. 15.7 2014</t>
  </si>
  <si>
    <t>2 oversiddere (meddelt 19/5)</t>
  </si>
  <si>
    <t>Prognose for 2015/2016 pr. 26.5.2014</t>
  </si>
  <si>
    <t>Prognose for 2016/2017 pr. 26.5.2014</t>
  </si>
  <si>
    <t>Prognose for 2014/2015 pr. 26.5.2014</t>
  </si>
  <si>
    <t>13 skolebørn årg 2009</t>
  </si>
  <si>
    <t>11 skolebørn årg 2010</t>
  </si>
  <si>
    <t>Børnene ej født endnu</t>
  </si>
  <si>
    <t>PROGNOSE FOR BILLUM</t>
  </si>
  <si>
    <t>2015/2016</t>
  </si>
  <si>
    <t>2016/2017</t>
  </si>
  <si>
    <t>OKSBØL</t>
  </si>
  <si>
    <t>(incl tvill)</t>
  </si>
  <si>
    <t>37 skolebørn årgang 2009</t>
  </si>
  <si>
    <t>39 skolebørn årgang 2010</t>
  </si>
  <si>
    <t>18 skolebørn årg 2009</t>
  </si>
  <si>
    <t>16 skolebørn årg 2010</t>
  </si>
  <si>
    <t>Børnenes prioritering af børnehaveønske er gjort ud fra adresse eller hvor søskende går/tidl. Har gået.</t>
  </si>
  <si>
    <t xml:space="preserve">1 ny/tilflytter </t>
  </si>
  <si>
    <t>1 udm 30.06.2014</t>
  </si>
  <si>
    <t>Prognose for 2015/2016 pr. 13.6 2014</t>
  </si>
  <si>
    <t>Prognose for 2016/2017 pr. 13.6 2014</t>
  </si>
  <si>
    <t>Prognose for 2014/2015 pr. 13.6 2014</t>
  </si>
  <si>
    <t>Prognose for 2014/2015 pr. 15.7.2014</t>
  </si>
  <si>
    <t>Prognose 2014/2015 pr. 15.07.2014</t>
  </si>
  <si>
    <t>(heraf 1 26/5)</t>
  </si>
  <si>
    <t>Marianna på fuld tid</t>
  </si>
  <si>
    <t>(heraf 1 17/6)</t>
  </si>
  <si>
    <t>3 (1=16/8)</t>
  </si>
  <si>
    <t>3(1=8/9, 1=16/9)</t>
  </si>
  <si>
    <t>1 udm</t>
  </si>
  <si>
    <t>(heraf 1 12/5)</t>
  </si>
  <si>
    <t>(heraf 1 18/8)</t>
  </si>
  <si>
    <t>(081011+220911 11/8)</t>
  </si>
  <si>
    <t xml:space="preserve">1 udm. </t>
  </si>
  <si>
    <t>57 skolebørn ud 15/5</t>
  </si>
  <si>
    <t>Prognosen for 2014/2015 pr. 15.07.2014</t>
  </si>
  <si>
    <t>1 ud</t>
  </si>
  <si>
    <t>2 ud</t>
  </si>
  <si>
    <t>2 ud.</t>
  </si>
  <si>
    <t>Se begrundelse nedenfor</t>
  </si>
  <si>
    <t>heraf 1 15/8</t>
  </si>
  <si>
    <t>180911=18/8</t>
  </si>
  <si>
    <t>Prognose for 2014/2015 pr. 5.8.2014</t>
  </si>
  <si>
    <t>Prognose for 2015/2016 pr. 5.8.2014</t>
  </si>
  <si>
    <t>Prognose for 2016/2017 pr. 5.8.2014</t>
  </si>
  <si>
    <t>40 skolebørn årgang 2010</t>
  </si>
  <si>
    <t>Faktiske tal for 2014/2015</t>
  </si>
  <si>
    <t>180911 udm 30/9</t>
  </si>
  <si>
    <t xml:space="preserve">Faktiske tal 2014/2015 </t>
  </si>
  <si>
    <t>1 udm 30/9 120510</t>
  </si>
  <si>
    <t>LUNDPARKEN</t>
  </si>
  <si>
    <t>Prognose 2014/2015 pr. 08.09.14</t>
  </si>
  <si>
    <t>Prognose 2015/2016 pr. 08.09.14</t>
  </si>
  <si>
    <t>Prognose 2016/2017 pr. 08.09.14</t>
  </si>
  <si>
    <t>(forv 1 oversidder)</t>
  </si>
  <si>
    <t>Kvong</t>
  </si>
  <si>
    <t>5 skolebørn</t>
  </si>
  <si>
    <t>Ej skrevet op - forventer</t>
  </si>
  <si>
    <t>Ej skrevet op</t>
  </si>
  <si>
    <t>Pladsanvisningen har ikke venteliste til Kvong bhv. Jeg har taget udgangspunkt i de indmeldte børn dd. Samt</t>
  </si>
  <si>
    <t>listen over fødte børn i Lunde - Kvong i perioden.</t>
  </si>
  <si>
    <t>KVONG BØRNEHAVE</t>
  </si>
  <si>
    <t>Prognose for 2014/2015 pr. 15.09.2014</t>
  </si>
  <si>
    <t>1 søsk</t>
  </si>
  <si>
    <t>ønske</t>
  </si>
  <si>
    <t>tidl. Søsk</t>
  </si>
  <si>
    <t>tvill=ønske</t>
  </si>
  <si>
    <t>2=ønske</t>
  </si>
  <si>
    <t>Tidl søsk</t>
  </si>
  <si>
    <t>Tvill=tidl søsk</t>
  </si>
  <si>
    <t>PROGNOSE FOR OKSBØL BØRNEHAVE</t>
  </si>
  <si>
    <t xml:space="preserve">Dette er en prognose, hvor jeg kun har indregnet nuværende søskendebørn, tidligere søskendebørn og børn hvor forældrene har valgt Oksbøl bhv </t>
  </si>
  <si>
    <t>som 1. prio.</t>
  </si>
  <si>
    <t>Der er flere børn på ventelisten, men som ikke aktivt at valgt en bestemt børnehave. Nogle af disse vil også blive tilbudt Oksbøl bhv, men jeg</t>
  </si>
  <si>
    <t>kender ikke deres reelle ønske og derfor har jeg ifølge aftale med Susanne i første omgang IKKE indregnet dem.</t>
  </si>
  <si>
    <t>150914/dvho</t>
  </si>
  <si>
    <t>Prognose for 2014/2015 pr. 16.09.2014</t>
  </si>
  <si>
    <t>Prognose for 2015/2016 pr. 16.09.2014</t>
  </si>
  <si>
    <t>Prognose for 2016/2017 pr. 16.09.2014</t>
  </si>
  <si>
    <t>Fødte børn ej på venteliste</t>
  </si>
  <si>
    <t>(forventer 1 oversidder)</t>
  </si>
  <si>
    <t>Prognose for 2014/2015 pr. 12.11.2014</t>
  </si>
  <si>
    <t>Prognose for 2015/2016 pr. 12.11.2014</t>
  </si>
  <si>
    <t>Prognose for 2016/2017 pr. 12.11.2014</t>
  </si>
  <si>
    <t>heraf 1 25/8</t>
  </si>
  <si>
    <t>heraf 1 159</t>
  </si>
  <si>
    <t>1 udm 15/9</t>
  </si>
  <si>
    <t>1 udm 15/11</t>
  </si>
  <si>
    <t>heraf 1 10/11</t>
  </si>
  <si>
    <t>59 skolebørn</t>
  </si>
  <si>
    <t xml:space="preserve">Prognose tal 2015/2016 </t>
  </si>
  <si>
    <t>41 skolebørn</t>
  </si>
  <si>
    <t>1 udm 16/11</t>
  </si>
  <si>
    <t>Børnehave før tid 2014</t>
  </si>
  <si>
    <t>Tilbagemelding til Dagplejen 16/12 2014</t>
  </si>
  <si>
    <t>Møllehuset</t>
  </si>
  <si>
    <t>Skovmusen ½</t>
  </si>
  <si>
    <t>Naturligvis</t>
  </si>
  <si>
    <t>skovbrynet 1/4</t>
  </si>
  <si>
    <t>Starup 2x 0,75</t>
  </si>
  <si>
    <t>Årre</t>
  </si>
  <si>
    <t>Ølgod x2</t>
  </si>
  <si>
    <t>Starup x2</t>
  </si>
  <si>
    <t>Starup</t>
  </si>
  <si>
    <t>Prognose for 2014/2015 pr. 08.01.2015</t>
  </si>
  <si>
    <t>Prognose for 2015/2016 pr. 08.01.2015</t>
  </si>
  <si>
    <t>Prognose for 2016/2017 pr. 08.01.2015</t>
  </si>
  <si>
    <t>12 skolebørn årg 2010</t>
  </si>
  <si>
    <t>Prognose for 2017/2018 pr. 08.01.2015</t>
  </si>
  <si>
    <t>6 skolebørn årg 2011</t>
  </si>
  <si>
    <t>Børn ej født endnu</t>
  </si>
  <si>
    <t>Prognose 2014/2015 pr. 15.07.14</t>
  </si>
  <si>
    <t>Prognose 2015/2016 pr. 15.01.15</t>
  </si>
  <si>
    <t>Faktiske tal 2014/2015</t>
  </si>
  <si>
    <t>Prognose for 2015/2016 pr. 15.1.2015</t>
  </si>
  <si>
    <t>heraf 1 16/8</t>
  </si>
  <si>
    <t>1 udm 31/12</t>
  </si>
  <si>
    <t>1= 16/8</t>
  </si>
  <si>
    <t>1=16/9</t>
  </si>
  <si>
    <t>1=15/12</t>
  </si>
  <si>
    <t>1=12/1</t>
  </si>
  <si>
    <t>1=deltid</t>
  </si>
  <si>
    <t>Prognose 2015/2016 pr. 15.01.2015</t>
  </si>
  <si>
    <t>OUTRUP BHV</t>
  </si>
  <si>
    <t>26 SKOLEBØRN</t>
  </si>
  <si>
    <t>heraf 2 deltids</t>
  </si>
  <si>
    <t>1 udm 11/1</t>
  </si>
  <si>
    <t>den 16/11=deltid</t>
  </si>
  <si>
    <t>2200003 ANSAGER BHV</t>
  </si>
  <si>
    <t>heraf 1 deltids</t>
  </si>
  <si>
    <t>Prognose for 2015/2016 pr. 15.1 2015</t>
  </si>
  <si>
    <t>33 skolebørn</t>
  </si>
  <si>
    <t>Prognose for 2015/2016 pr. 15.01.2015</t>
  </si>
  <si>
    <t>2110009 HORNE</t>
  </si>
  <si>
    <t>1 udm 10/8</t>
  </si>
  <si>
    <t>2330001 ÅRRE BØRNEHAVE</t>
  </si>
  <si>
    <t>1=18/8</t>
  </si>
  <si>
    <t>310312=16/1</t>
  </si>
  <si>
    <t xml:space="preserve">Skoleudsættelse 121209-5164 </t>
  </si>
  <si>
    <t>4300002 Agerbæk Børnehus</t>
  </si>
  <si>
    <t>3 udm 31/1</t>
  </si>
  <si>
    <t>Prognose  for 2015/2016 pr. 15.01.2015</t>
  </si>
  <si>
    <t>forv. 59 skolebørn</t>
  </si>
  <si>
    <t>Fov. 43 skolebørn</t>
  </si>
  <si>
    <t>SØSK</t>
  </si>
  <si>
    <t>18 SKOLEBØRN</t>
  </si>
  <si>
    <t>Prognosen for 2015/2016 pr. 15.01.2015</t>
  </si>
  <si>
    <t>2 nye</t>
  </si>
  <si>
    <t>3 udm 30/4</t>
  </si>
  <si>
    <t>1 søsk/tidl søsk</t>
  </si>
  <si>
    <t>2 søsk/tidl søsk</t>
  </si>
  <si>
    <t>1 f/vuggestue</t>
  </si>
  <si>
    <t>1 f/vugg+1ønske</t>
  </si>
  <si>
    <t>forældres ønske</t>
  </si>
  <si>
    <t>Prognose for 2015/2016 15.1.2015</t>
  </si>
  <si>
    <t>(020911, 081011=11/8)</t>
  </si>
  <si>
    <t>1=11/8</t>
  </si>
  <si>
    <t>1=8/9</t>
  </si>
  <si>
    <t>1=17/11</t>
  </si>
  <si>
    <t>8 skolebørn</t>
  </si>
  <si>
    <t>1 udm 15/2 (080110)</t>
  </si>
  <si>
    <t>151111 fuld tid 4/3</t>
  </si>
  <si>
    <t>Prognose for 2015/2016 pr. 15.5.2015</t>
  </si>
  <si>
    <t>?? Skolebørn</t>
  </si>
  <si>
    <t>280309 skal vente 1 år</t>
  </si>
  <si>
    <t>Prognose for 2014/2015 pr.16.3.2015</t>
  </si>
  <si>
    <t>Prognose for 2015/2016 pr. 16.3.2015</t>
  </si>
  <si>
    <t>Prognose for 2016/2017 pr. 16.3.2015</t>
  </si>
  <si>
    <t>Prognose for 2017/2018 pr. 16.3.2015</t>
  </si>
  <si>
    <t>37 skolebørn</t>
  </si>
  <si>
    <t>Fødte børn - ej opskrevet</t>
  </si>
  <si>
    <t>41 skolebørn årg 2010</t>
  </si>
  <si>
    <t>38 skolebørn årgang 2011</t>
  </si>
  <si>
    <t>PROGNOSE FOR OKSBØL-BY</t>
  </si>
  <si>
    <t>Prognose for 2014/2015 pr. 23.03.2015</t>
  </si>
  <si>
    <t>Prognose for 2015/2016 pr. 23.03.2015</t>
  </si>
  <si>
    <t>Prognose for 2016/2017 pr. 23.03.2015</t>
  </si>
  <si>
    <t>1 udm 6/4</t>
  </si>
  <si>
    <t>12 skolebørn årg 2009</t>
  </si>
  <si>
    <t>Prognose for 2017/2018 pr. 23.03.2015</t>
  </si>
  <si>
    <t>111109=18/5</t>
  </si>
  <si>
    <t>Prognose 2014/2015 pr. 09.04.2015</t>
  </si>
  <si>
    <t>Prognose 2015/2016 pr.09.04.2015</t>
  </si>
  <si>
    <t>Prognose 2016/2017 pr. 09.04.2015</t>
  </si>
  <si>
    <t>Prognose 2017/2018 pr. 09.04.2015</t>
  </si>
  <si>
    <t>2017/2018</t>
  </si>
  <si>
    <t>9 skolebørn</t>
  </si>
  <si>
    <t>Fødte børn ej skrevet på venteliste endnu - forventer opstart???</t>
  </si>
  <si>
    <t>3 skolebørn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</si>
</sst>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3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6"/>
      <name val="Arial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</font>
    <font>
      <sz val="6"/>
      <color theme="1"/>
      <name val="Calibri"/>
      <family val="2"/>
      <scheme val="minor"/>
    </font>
    <font>
      <sz val="6"/>
      <color rgb="FFFF0000"/>
      <name val="Arial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5" fillId="0" borderId="0"/>
    <xf numFmtId="16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16">
    <xf numFmtId="0" fontId="0" fillId="0" borderId="0" xfId="0"/>
    <xf numFmtId="0" fontId="0" fillId="0" borderId="0" xfId="0" applyFill="1"/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3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2" fontId="0" fillId="0" borderId="1" xfId="0" applyNumberFormat="1" applyFill="1" applyBorder="1" applyAlignment="1">
      <alignment horizontal="center"/>
    </xf>
    <xf numFmtId="9" fontId="0" fillId="0" borderId="0" xfId="0" applyNumberFormat="1" applyFill="1"/>
    <xf numFmtId="0" fontId="4" fillId="0" borderId="2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2" fillId="0" borderId="0" xfId="0" applyFont="1"/>
    <xf numFmtId="0" fontId="1" fillId="0" borderId="0" xfId="1" applyFont="1"/>
    <xf numFmtId="0" fontId="2" fillId="0" borderId="0" xfId="1"/>
    <xf numFmtId="0" fontId="2" fillId="0" borderId="0" xfId="1" applyFill="1"/>
    <xf numFmtId="0" fontId="0" fillId="4" borderId="0" xfId="0" applyFill="1"/>
    <xf numFmtId="0" fontId="1" fillId="0" borderId="1" xfId="1" applyFont="1" applyFill="1" applyBorder="1"/>
    <xf numFmtId="0" fontId="2" fillId="0" borderId="1" xfId="1" applyFill="1" applyBorder="1" applyAlignment="1">
      <alignment horizontal="center"/>
    </xf>
    <xf numFmtId="0" fontId="2" fillId="0" borderId="1" xfId="1" applyFill="1" applyBorder="1"/>
    <xf numFmtId="0" fontId="2" fillId="4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/>
    <xf numFmtId="0" fontId="1" fillId="0" borderId="0" xfId="1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1" fillId="0" borderId="0" xfId="0" applyFont="1"/>
    <xf numFmtId="0" fontId="1" fillId="3" borderId="0" xfId="0" applyFont="1" applyFill="1"/>
    <xf numFmtId="0" fontId="0" fillId="3" borderId="0" xfId="0" applyFill="1"/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2" fillId="4" borderId="1" xfId="0" applyFont="1" applyFill="1" applyBorder="1"/>
    <xf numFmtId="0" fontId="3" fillId="4" borderId="1" xfId="0" applyFont="1" applyFill="1" applyBorder="1"/>
    <xf numFmtId="0" fontId="6" fillId="0" borderId="0" xfId="0" applyFont="1" applyFill="1" applyBorder="1" applyAlignment="1">
      <alignment horizontal="left"/>
    </xf>
    <xf numFmtId="0" fontId="7" fillId="0" borderId="0" xfId="1" applyFont="1" applyFill="1" applyBorder="1"/>
    <xf numFmtId="0" fontId="8" fillId="0" borderId="0" xfId="0" applyFont="1"/>
    <xf numFmtId="1" fontId="9" fillId="0" borderId="0" xfId="1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10" fillId="0" borderId="0" xfId="1" applyFont="1" applyFill="1" applyBorder="1"/>
    <xf numFmtId="0" fontId="11" fillId="0" borderId="0" xfId="0" applyFont="1" applyFill="1"/>
    <xf numFmtId="0" fontId="11" fillId="0" borderId="0" xfId="0" applyFont="1" applyFill="1" applyBorder="1" applyAlignment="1">
      <alignment horizontal="center"/>
    </xf>
    <xf numFmtId="0" fontId="13" fillId="0" borderId="0" xfId="0" applyFont="1"/>
    <xf numFmtId="0" fontId="11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2" fontId="11" fillId="4" borderId="0" xfId="0" applyNumberFormat="1" applyFont="1" applyFill="1" applyBorder="1" applyAlignment="1">
      <alignment horizontal="center"/>
    </xf>
    <xf numFmtId="0" fontId="14" fillId="0" borderId="0" xfId="0" applyFont="1"/>
    <xf numFmtId="1" fontId="11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11" fillId="5" borderId="0" xfId="0" applyNumberFormat="1" applyFont="1" applyFill="1" applyBorder="1" applyAlignment="1">
      <alignment horizontal="center"/>
    </xf>
    <xf numFmtId="0" fontId="15" fillId="0" borderId="0" xfId="2"/>
    <xf numFmtId="0" fontId="15" fillId="0" borderId="0" xfId="2" applyFill="1"/>
    <xf numFmtId="9" fontId="15" fillId="0" borderId="0" xfId="2" applyNumberFormat="1" applyFill="1"/>
    <xf numFmtId="0" fontId="5" fillId="0" borderId="0" xfId="2" applyFont="1" applyFill="1" applyBorder="1" applyAlignment="1">
      <alignment horizontal="center"/>
    </xf>
    <xf numFmtId="0" fontId="5" fillId="0" borderId="0" xfId="2" applyFont="1" applyFill="1"/>
    <xf numFmtId="0" fontId="6" fillId="0" borderId="0" xfId="2" applyFont="1"/>
    <xf numFmtId="0" fontId="4" fillId="0" borderId="2" xfId="2" applyFont="1" applyFill="1" applyBorder="1"/>
    <xf numFmtId="2" fontId="5" fillId="0" borderId="1" xfId="2" applyNumberFormat="1" applyFont="1" applyFill="1" applyBorder="1" applyAlignment="1">
      <alignment horizontal="center"/>
    </xf>
    <xf numFmtId="0" fontId="1" fillId="0" borderId="1" xfId="1" applyFont="1" applyFill="1" applyBorder="1"/>
    <xf numFmtId="0" fontId="2" fillId="0" borderId="1" xfId="1" applyFill="1" applyBorder="1" applyAlignment="1">
      <alignment horizontal="center"/>
    </xf>
    <xf numFmtId="0" fontId="2" fillId="0" borderId="1" xfId="1" applyFill="1" applyBorder="1"/>
    <xf numFmtId="0" fontId="15" fillId="3" borderId="0" xfId="2" applyFill="1"/>
    <xf numFmtId="0" fontId="2" fillId="0" borderId="0" xfId="2" applyFont="1" applyFill="1" applyBorder="1"/>
    <xf numFmtId="2" fontId="5" fillId="0" borderId="0" xfId="2" applyNumberFormat="1" applyFont="1" applyFill="1" applyBorder="1" applyAlignment="1">
      <alignment horizontal="center"/>
    </xf>
    <xf numFmtId="0" fontId="4" fillId="0" borderId="0" xfId="2" applyFont="1" applyFill="1" applyBorder="1"/>
    <xf numFmtId="0" fontId="15" fillId="0" borderId="0" xfId="2"/>
    <xf numFmtId="0" fontId="15" fillId="0" borderId="0" xfId="2" applyFill="1"/>
    <xf numFmtId="9" fontId="15" fillId="0" borderId="0" xfId="2" applyNumberFormat="1" applyFill="1"/>
    <xf numFmtId="0" fontId="5" fillId="0" borderId="0" xfId="2" applyFont="1" applyFill="1" applyBorder="1" applyAlignment="1">
      <alignment horizontal="center"/>
    </xf>
    <xf numFmtId="0" fontId="5" fillId="0" borderId="0" xfId="2" applyFont="1" applyFill="1"/>
    <xf numFmtId="0" fontId="4" fillId="0" borderId="2" xfId="2" applyFont="1" applyFill="1" applyBorder="1"/>
    <xf numFmtId="2" fontId="5" fillId="0" borderId="1" xfId="2" applyNumberFormat="1" applyFont="1" applyFill="1" applyBorder="1" applyAlignment="1">
      <alignment horizontal="center"/>
    </xf>
    <xf numFmtId="0" fontId="15" fillId="2" borderId="0" xfId="2" applyFill="1"/>
    <xf numFmtId="0" fontId="16" fillId="0" borderId="0" xfId="0" applyFont="1"/>
    <xf numFmtId="0" fontId="0" fillId="5" borderId="0" xfId="0" applyFill="1"/>
    <xf numFmtId="0" fontId="2" fillId="0" borderId="0" xfId="1" applyFill="1"/>
    <xf numFmtId="9" fontId="2" fillId="0" borderId="0" xfId="1" applyNumberFormat="1" applyFill="1"/>
    <xf numFmtId="0" fontId="5" fillId="0" borderId="0" xfId="1" applyFont="1" applyFill="1" applyBorder="1" applyAlignment="1">
      <alignment horizontal="center"/>
    </xf>
    <xf numFmtId="0" fontId="5" fillId="0" borderId="0" xfId="1" applyFont="1" applyFill="1"/>
    <xf numFmtId="0" fontId="1" fillId="0" borderId="1" xfId="1" applyFont="1" applyFill="1" applyBorder="1"/>
    <xf numFmtId="0" fontId="2" fillId="0" borderId="1" xfId="1" applyFill="1" applyBorder="1" applyAlignment="1">
      <alignment horizontal="center"/>
    </xf>
    <xf numFmtId="0" fontId="2" fillId="0" borderId="1" xfId="1" applyFill="1" applyBorder="1"/>
    <xf numFmtId="0" fontId="2" fillId="0" borderId="1" xfId="1" applyFont="1" applyFill="1" applyBorder="1"/>
    <xf numFmtId="0" fontId="3" fillId="0" borderId="1" xfId="1" applyFont="1" applyFill="1" applyBorder="1"/>
    <xf numFmtId="2" fontId="2" fillId="0" borderId="1" xfId="1" applyNumberForma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0" xfId="1" applyFill="1" applyAlignment="1">
      <alignment horizontal="center"/>
    </xf>
    <xf numFmtId="0" fontId="2" fillId="2" borderId="0" xfId="1" applyFill="1"/>
    <xf numFmtId="0" fontId="1" fillId="2" borderId="0" xfId="1" applyFont="1" applyFill="1"/>
    <xf numFmtId="0" fontId="17" fillId="0" borderId="0" xfId="1" applyFont="1" applyFill="1"/>
    <xf numFmtId="0" fontId="2" fillId="0" borderId="0" xfId="1" applyFont="1"/>
    <xf numFmtId="0" fontId="2" fillId="6" borderId="1" xfId="1" applyFont="1" applyFill="1" applyBorder="1"/>
    <xf numFmtId="2" fontId="2" fillId="6" borderId="1" xfId="1" applyNumberForma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right"/>
    </xf>
    <xf numFmtId="0" fontId="6" fillId="0" borderId="0" xfId="1" applyFont="1"/>
    <xf numFmtId="0" fontId="3" fillId="4" borderId="1" xfId="1" applyFont="1" applyFill="1" applyBorder="1"/>
    <xf numFmtId="0" fontId="3" fillId="4" borderId="0" xfId="1" applyFont="1" applyFill="1" applyAlignment="1">
      <alignment horizontal="right"/>
    </xf>
    <xf numFmtId="0" fontId="6" fillId="0" borderId="0" xfId="1" applyFont="1" applyFill="1"/>
    <xf numFmtId="0" fontId="2" fillId="4" borderId="0" xfId="1" applyFont="1" applyFill="1" applyBorder="1"/>
    <xf numFmtId="0" fontId="2" fillId="0" borderId="0" xfId="1"/>
    <xf numFmtId="0" fontId="2" fillId="0" borderId="0" xfId="1" applyFill="1"/>
    <xf numFmtId="9" fontId="2" fillId="0" borderId="0" xfId="1" applyNumberFormat="1" applyFill="1"/>
    <xf numFmtId="0" fontId="5" fillId="0" borderId="0" xfId="1" applyFont="1"/>
    <xf numFmtId="0" fontId="5" fillId="0" borderId="0" xfId="1" applyFont="1" applyFill="1" applyBorder="1" applyAlignment="1">
      <alignment horizontal="center"/>
    </xf>
    <xf numFmtId="0" fontId="5" fillId="0" borderId="0" xfId="1" applyFont="1" applyFill="1"/>
    <xf numFmtId="0" fontId="1" fillId="0" borderId="1" xfId="1" applyFont="1" applyFill="1" applyBorder="1"/>
    <xf numFmtId="0" fontId="2" fillId="0" borderId="1" xfId="1" applyFill="1" applyBorder="1" applyAlignment="1">
      <alignment horizontal="center"/>
    </xf>
    <xf numFmtId="0" fontId="2" fillId="0" borderId="1" xfId="1" applyFill="1" applyBorder="1"/>
    <xf numFmtId="2" fontId="3" fillId="0" borderId="1" xfId="1" applyNumberFormat="1" applyFont="1" applyFill="1" applyBorder="1" applyAlignment="1">
      <alignment horizontal="right"/>
    </xf>
    <xf numFmtId="0" fontId="2" fillId="0" borderId="1" xfId="1" applyFont="1" applyFill="1" applyBorder="1"/>
    <xf numFmtId="2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/>
    <xf numFmtId="2" fontId="2" fillId="0" borderId="1" xfId="1" applyNumberForma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0" xfId="1" applyFill="1" applyAlignment="1">
      <alignment horizontal="center"/>
    </xf>
    <xf numFmtId="0" fontId="5" fillId="0" borderId="2" xfId="1" applyFont="1" applyFill="1" applyBorder="1"/>
    <xf numFmtId="2" fontId="5" fillId="0" borderId="1" xfId="1" applyNumberFormat="1" applyFont="1" applyFill="1" applyBorder="1" applyAlignment="1">
      <alignment horizontal="center"/>
    </xf>
    <xf numFmtId="0" fontId="2" fillId="2" borderId="0" xfId="1" applyFill="1"/>
    <xf numFmtId="0" fontId="2" fillId="6" borderId="1" xfId="1" applyFill="1" applyBorder="1"/>
    <xf numFmtId="0" fontId="3" fillId="6" borderId="1" xfId="1" applyFont="1" applyFill="1" applyBorder="1"/>
    <xf numFmtId="2" fontId="3" fillId="6" borderId="1" xfId="1" applyNumberFormat="1" applyFont="1" applyFill="1" applyBorder="1" applyAlignment="1">
      <alignment horizontal="center"/>
    </xf>
    <xf numFmtId="0" fontId="6" fillId="6" borderId="1" xfId="1" applyFont="1" applyFill="1" applyBorder="1"/>
    <xf numFmtId="0" fontId="11" fillId="0" borderId="0" xfId="1" applyFont="1"/>
    <xf numFmtId="0" fontId="1" fillId="2" borderId="0" xfId="1" applyFont="1" applyFill="1"/>
    <xf numFmtId="0" fontId="2" fillId="0" borderId="0" xfId="1"/>
    <xf numFmtId="0" fontId="2" fillId="0" borderId="0" xfId="1" applyFill="1"/>
    <xf numFmtId="0" fontId="5" fillId="0" borderId="0" xfId="1" applyFont="1" applyFill="1" applyBorder="1" applyAlignment="1">
      <alignment horizontal="center"/>
    </xf>
    <xf numFmtId="0" fontId="5" fillId="0" borderId="0" xfId="1" applyFont="1" applyFill="1"/>
    <xf numFmtId="0" fontId="1" fillId="0" borderId="1" xfId="1" applyFont="1" applyFill="1" applyBorder="1"/>
    <xf numFmtId="0" fontId="2" fillId="0" borderId="1" xfId="1" applyFill="1" applyBorder="1" applyAlignment="1">
      <alignment horizontal="center"/>
    </xf>
    <xf numFmtId="0" fontId="2" fillId="0" borderId="1" xfId="1" applyFill="1" applyBorder="1"/>
    <xf numFmtId="0" fontId="2" fillId="0" borderId="1" xfId="1" applyFont="1" applyFill="1" applyBorder="1"/>
    <xf numFmtId="2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/>
    <xf numFmtId="2" fontId="2" fillId="0" borderId="1" xfId="1" applyNumberFormat="1" applyFill="1" applyBorder="1" applyAlignment="1">
      <alignment horizontal="center"/>
    </xf>
    <xf numFmtId="0" fontId="2" fillId="2" borderId="0" xfId="1" applyFill="1"/>
    <xf numFmtId="0" fontId="1" fillId="2" borderId="0" xfId="1" applyFont="1" applyFill="1"/>
    <xf numFmtId="0" fontId="18" fillId="5" borderId="0" xfId="0" applyFont="1" applyFill="1"/>
    <xf numFmtId="0" fontId="21" fillId="4" borderId="1" xfId="0" applyFont="1" applyFill="1" applyBorder="1" applyAlignment="1">
      <alignment horizontal="center"/>
    </xf>
    <xf numFmtId="0" fontId="21" fillId="4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0" fillId="0" borderId="0" xfId="0" applyFont="1"/>
    <xf numFmtId="0" fontId="18" fillId="4" borderId="0" xfId="0" applyFont="1" applyFill="1"/>
    <xf numFmtId="0" fontId="1" fillId="4" borderId="1" xfId="1" applyFont="1" applyFill="1" applyBorder="1"/>
    <xf numFmtId="0" fontId="2" fillId="4" borderId="1" xfId="1" applyFill="1" applyBorder="1" applyAlignment="1">
      <alignment horizontal="center"/>
    </xf>
    <xf numFmtId="0" fontId="2" fillId="4" borderId="1" xfId="1" applyFill="1" applyBorder="1"/>
    <xf numFmtId="0" fontId="1" fillId="5" borderId="0" xfId="0" applyFont="1" applyFill="1"/>
    <xf numFmtId="0" fontId="15" fillId="5" borderId="0" xfId="2" applyFill="1"/>
    <xf numFmtId="0" fontId="2" fillId="3" borderId="3" xfId="2" applyFont="1" applyFill="1" applyBorder="1"/>
    <xf numFmtId="0" fontId="0" fillId="3" borderId="4" xfId="0" applyFill="1" applyBorder="1"/>
    <xf numFmtId="0" fontId="22" fillId="4" borderId="0" xfId="2" applyFont="1" applyFill="1" applyBorder="1"/>
    <xf numFmtId="0" fontId="19" fillId="4" borderId="0" xfId="0" applyFont="1" applyFill="1" applyBorder="1"/>
    <xf numFmtId="0" fontId="2" fillId="4" borderId="0" xfId="2" applyFont="1" applyFill="1"/>
    <xf numFmtId="0" fontId="23" fillId="0" borderId="0" xfId="0" applyFont="1"/>
    <xf numFmtId="0" fontId="8" fillId="4" borderId="0" xfId="0" applyFont="1" applyFill="1"/>
    <xf numFmtId="0" fontId="13" fillId="4" borderId="0" xfId="0" applyFont="1" applyFill="1"/>
    <xf numFmtId="1" fontId="11" fillId="4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0" fillId="0" borderId="0" xfId="0" applyBorder="1"/>
    <xf numFmtId="0" fontId="2" fillId="3" borderId="0" xfId="1" applyFill="1" applyBorder="1"/>
    <xf numFmtId="0" fontId="22" fillId="5" borderId="0" xfId="1" applyFont="1" applyFill="1" applyBorder="1"/>
    <xf numFmtId="0" fontId="2" fillId="0" borderId="0" xfId="1" applyFill="1" applyBorder="1"/>
    <xf numFmtId="0" fontId="2" fillId="4" borderId="0" xfId="0" applyFont="1" applyFill="1" applyBorder="1"/>
    <xf numFmtId="0" fontId="6" fillId="0" borderId="0" xfId="0" applyFont="1" applyFill="1" applyBorder="1"/>
    <xf numFmtId="0" fontId="13" fillId="0" borderId="0" xfId="0" applyFont="1" applyBorder="1"/>
    <xf numFmtId="0" fontId="0" fillId="0" borderId="0" xfId="0" applyFill="1" applyBorder="1"/>
    <xf numFmtId="0" fontId="13" fillId="5" borderId="0" xfId="0" applyFont="1" applyFill="1"/>
    <xf numFmtId="0" fontId="5" fillId="4" borderId="0" xfId="2" applyFont="1" applyFill="1" applyBorder="1" applyAlignment="1">
      <alignment horizontal="center"/>
    </xf>
    <xf numFmtId="0" fontId="16" fillId="4" borderId="0" xfId="0" applyFont="1" applyFill="1"/>
    <xf numFmtId="0" fontId="24" fillId="0" borderId="0" xfId="0" applyFont="1"/>
    <xf numFmtId="0" fontId="11" fillId="5" borderId="0" xfId="2" applyFont="1" applyFill="1" applyBorder="1" applyAlignment="1">
      <alignment horizontal="center"/>
    </xf>
    <xf numFmtId="0" fontId="25" fillId="5" borderId="0" xfId="0" applyFont="1" applyFill="1"/>
    <xf numFmtId="0" fontId="26" fillId="5" borderId="0" xfId="0" applyFont="1" applyFill="1"/>
    <xf numFmtId="0" fontId="27" fillId="4" borderId="0" xfId="0" applyFont="1" applyFill="1" applyBorder="1" applyAlignment="1">
      <alignment horizontal="center"/>
    </xf>
    <xf numFmtId="0" fontId="21" fillId="0" borderId="0" xfId="0" applyFont="1"/>
    <xf numFmtId="0" fontId="20" fillId="7" borderId="0" xfId="0" applyFont="1" applyFill="1"/>
    <xf numFmtId="0" fontId="1" fillId="7" borderId="0" xfId="0" applyFont="1" applyFill="1"/>
    <xf numFmtId="0" fontId="1" fillId="3" borderId="0" xfId="1" applyFont="1" applyFill="1" applyBorder="1"/>
    <xf numFmtId="0" fontId="13" fillId="4" borderId="0" xfId="0" applyFont="1" applyFill="1" applyBorder="1"/>
    <xf numFmtId="0" fontId="6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3" fillId="0" borderId="1" xfId="0" applyFont="1" applyBorder="1"/>
    <xf numFmtId="0" fontId="11" fillId="0" borderId="1" xfId="0" applyFont="1" applyFill="1" applyBorder="1" applyAlignment="1">
      <alignment horizontal="left"/>
    </xf>
    <xf numFmtId="1" fontId="11" fillId="5" borderId="1" xfId="0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11" fillId="0" borderId="0" xfId="2" applyFont="1" applyFill="1"/>
    <xf numFmtId="0" fontId="11" fillId="0" borderId="0" xfId="2" applyFont="1" applyFill="1" applyBorder="1" applyAlignment="1">
      <alignment horizontal="center"/>
    </xf>
    <xf numFmtId="0" fontId="1" fillId="0" borderId="2" xfId="1" applyFont="1" applyFill="1" applyBorder="1"/>
    <xf numFmtId="0" fontId="0" fillId="0" borderId="0" xfId="0" applyFill="1" applyBorder="1" applyAlignment="1">
      <alignment horizontal="center"/>
    </xf>
    <xf numFmtId="0" fontId="5" fillId="0" borderId="1" xfId="0" applyFont="1" applyFill="1" applyBorder="1"/>
    <xf numFmtId="0" fontId="0" fillId="0" borderId="1" xfId="0" applyBorder="1"/>
    <xf numFmtId="0" fontId="8" fillId="0" borderId="1" xfId="0" applyFont="1" applyBorder="1"/>
    <xf numFmtId="0" fontId="2" fillId="4" borderId="2" xfId="1" applyFont="1" applyFill="1" applyBorder="1"/>
    <xf numFmtId="0" fontId="3" fillId="4" borderId="0" xfId="1" applyFont="1" applyFill="1" applyBorder="1"/>
    <xf numFmtId="0" fontId="2" fillId="4" borderId="0" xfId="1" applyFill="1"/>
    <xf numFmtId="2" fontId="2" fillId="4" borderId="6" xfId="1" applyNumberFormat="1" applyFill="1" applyBorder="1" applyAlignment="1">
      <alignment horizontal="center"/>
    </xf>
    <xf numFmtId="0" fontId="5" fillId="0" borderId="1" xfId="2" applyFont="1" applyFill="1" applyBorder="1"/>
    <xf numFmtId="0" fontId="5" fillId="0" borderId="1" xfId="2" applyFont="1" applyFill="1" applyBorder="1" applyAlignment="1">
      <alignment horizontal="center"/>
    </xf>
    <xf numFmtId="0" fontId="6" fillId="0" borderId="1" xfId="2" applyFont="1" applyFill="1" applyBorder="1"/>
    <xf numFmtId="0" fontId="0" fillId="3" borderId="0" xfId="0" applyFill="1" applyAlignment="1">
      <alignment horizontal="center"/>
    </xf>
    <xf numFmtId="0" fontId="0" fillId="6" borderId="1" xfId="0" applyFill="1" applyBorder="1"/>
    <xf numFmtId="0" fontId="13" fillId="6" borderId="1" xfId="0" applyFont="1" applyFill="1" applyBorder="1"/>
    <xf numFmtId="0" fontId="2" fillId="0" borderId="0" xfId="2" applyFont="1"/>
    <xf numFmtId="0" fontId="4" fillId="0" borderId="1" xfId="2" applyFont="1" applyFill="1" applyBorder="1"/>
    <xf numFmtId="0" fontId="5" fillId="5" borderId="1" xfId="2" applyFont="1" applyFill="1" applyBorder="1" applyAlignment="1">
      <alignment horizontal="center"/>
    </xf>
    <xf numFmtId="0" fontId="20" fillId="5" borderId="0" xfId="0" applyFont="1" applyFill="1"/>
    <xf numFmtId="0" fontId="5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20" fillId="8" borderId="0" xfId="0" applyFont="1" applyFill="1"/>
    <xf numFmtId="2" fontId="12" fillId="4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16" fontId="11" fillId="0" borderId="0" xfId="0" applyNumberFormat="1" applyFont="1" applyFill="1" applyBorder="1" applyAlignment="1">
      <alignment horizontal="center"/>
    </xf>
    <xf numFmtId="0" fontId="20" fillId="9" borderId="0" xfId="0" applyFont="1" applyFill="1"/>
    <xf numFmtId="0" fontId="20" fillId="10" borderId="0" xfId="0" applyFont="1" applyFill="1"/>
    <xf numFmtId="0" fontId="2" fillId="3" borderId="1" xfId="1" applyFont="1" applyFill="1" applyBorder="1"/>
    <xf numFmtId="0" fontId="3" fillId="3" borderId="1" xfId="1" applyFont="1" applyFill="1" applyBorder="1"/>
    <xf numFmtId="0" fontId="1" fillId="10" borderId="0" xfId="0" applyFont="1" applyFill="1"/>
    <xf numFmtId="0" fontId="4" fillId="0" borderId="0" xfId="0" applyFont="1" applyFill="1" applyBorder="1"/>
    <xf numFmtId="2" fontId="5" fillId="0" borderId="0" xfId="0" applyNumberFormat="1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/>
    </xf>
    <xf numFmtId="0" fontId="5" fillId="6" borderId="1" xfId="1" applyFont="1" applyFill="1" applyBorder="1"/>
    <xf numFmtId="0" fontId="5" fillId="0" borderId="2" xfId="2" applyFont="1" applyFill="1" applyBorder="1" applyAlignment="1">
      <alignment horizontal="center"/>
    </xf>
    <xf numFmtId="0" fontId="9" fillId="6" borderId="1" xfId="1" applyFont="1" applyFill="1" applyBorder="1"/>
    <xf numFmtId="2" fontId="9" fillId="6" borderId="1" xfId="1" applyNumberFormat="1" applyFont="1" applyFill="1" applyBorder="1" applyAlignment="1">
      <alignment horizontal="center"/>
    </xf>
    <xf numFmtId="0" fontId="21" fillId="5" borderId="0" xfId="0" applyFont="1" applyFill="1"/>
    <xf numFmtId="0" fontId="0" fillId="0" borderId="7" xfId="0" applyBorder="1"/>
    <xf numFmtId="0" fontId="8" fillId="0" borderId="7" xfId="0" applyFont="1" applyBorder="1"/>
    <xf numFmtId="0" fontId="8" fillId="0" borderId="0" xfId="0" applyFont="1" applyBorder="1"/>
    <xf numFmtId="0" fontId="28" fillId="0" borderId="0" xfId="0" applyFont="1" applyBorder="1"/>
    <xf numFmtId="0" fontId="28" fillId="0" borderId="0" xfId="0" applyFont="1"/>
    <xf numFmtId="0" fontId="0" fillId="3" borderId="1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6" fillId="4" borderId="0" xfId="1" applyFont="1" applyFill="1" applyBorder="1"/>
    <xf numFmtId="0" fontId="16" fillId="0" borderId="0" xfId="0" applyFont="1" applyFill="1"/>
    <xf numFmtId="0" fontId="20" fillId="11" borderId="0" xfId="0" applyFont="1" applyFill="1"/>
    <xf numFmtId="0" fontId="20" fillId="3" borderId="0" xfId="0" applyFont="1" applyFill="1"/>
    <xf numFmtId="0" fontId="29" fillId="0" borderId="0" xfId="0" applyFont="1"/>
    <xf numFmtId="0" fontId="11" fillId="0" borderId="2" xfId="1" applyFont="1" applyFill="1" applyBorder="1"/>
    <xf numFmtId="0" fontId="30" fillId="0" borderId="0" xfId="0" applyFont="1"/>
    <xf numFmtId="0" fontId="1" fillId="2" borderId="0" xfId="0" applyFont="1" applyFill="1"/>
    <xf numFmtId="0" fontId="24" fillId="5" borderId="0" xfId="0" applyFont="1" applyFill="1"/>
    <xf numFmtId="0" fontId="8" fillId="5" borderId="0" xfId="0" applyFont="1" applyFill="1"/>
    <xf numFmtId="0" fontId="9" fillId="0" borderId="0" xfId="1" applyFont="1"/>
    <xf numFmtId="2" fontId="3" fillId="0" borderId="0" xfId="1" applyNumberFormat="1" applyFont="1" applyFill="1" applyBorder="1" applyAlignment="1">
      <alignment horizontal="center"/>
    </xf>
    <xf numFmtId="0" fontId="24" fillId="4" borderId="0" xfId="0" applyFont="1" applyFill="1"/>
    <xf numFmtId="0" fontId="5" fillId="4" borderId="1" xfId="2" applyFont="1" applyFill="1" applyBorder="1" applyAlignment="1">
      <alignment horizontal="left"/>
    </xf>
    <xf numFmtId="0" fontId="5" fillId="0" borderId="8" xfId="2" applyFont="1" applyFill="1" applyBorder="1"/>
    <xf numFmtId="0" fontId="4" fillId="0" borderId="8" xfId="2" applyFont="1" applyFill="1" applyBorder="1"/>
    <xf numFmtId="2" fontId="5" fillId="0" borderId="9" xfId="2" applyNumberFormat="1" applyFont="1" applyFill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6" fillId="4" borderId="1" xfId="0" applyFont="1" applyFill="1" applyBorder="1"/>
    <xf numFmtId="0" fontId="0" fillId="4" borderId="1" xfId="0" applyFill="1" applyBorder="1"/>
    <xf numFmtId="0" fontId="21" fillId="4" borderId="0" xfId="0" applyFont="1" applyFill="1"/>
    <xf numFmtId="0" fontId="4" fillId="12" borderId="2" xfId="0" applyFont="1" applyFill="1" applyBorder="1"/>
    <xf numFmtId="0" fontId="5" fillId="12" borderId="0" xfId="0" applyFont="1" applyFill="1"/>
    <xf numFmtId="0" fontId="5" fillId="12" borderId="0" xfId="0" applyFont="1" applyFill="1" applyBorder="1" applyAlignment="1">
      <alignment horizontal="center"/>
    </xf>
    <xf numFmtId="2" fontId="5" fillId="12" borderId="1" xfId="0" applyNumberFormat="1" applyFont="1" applyFill="1" applyBorder="1" applyAlignment="1">
      <alignment horizontal="center"/>
    </xf>
    <xf numFmtId="0" fontId="20" fillId="2" borderId="0" xfId="0" applyFont="1" applyFill="1"/>
    <xf numFmtId="2" fontId="3" fillId="6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/>
    <xf numFmtId="16" fontId="8" fillId="0" borderId="0" xfId="0" applyNumberFormat="1" applyFont="1"/>
    <xf numFmtId="0" fontId="11" fillId="0" borderId="1" xfId="0" applyFont="1" applyFill="1" applyBorder="1"/>
    <xf numFmtId="0" fontId="11" fillId="6" borderId="1" xfId="1" applyFont="1" applyFill="1" applyBorder="1"/>
    <xf numFmtId="0" fontId="16" fillId="0" borderId="0" xfId="0" applyFont="1" applyBorder="1" applyAlignment="1">
      <alignment horizontal="center"/>
    </xf>
    <xf numFmtId="0" fontId="16" fillId="4" borderId="0" xfId="0" applyFont="1" applyFill="1" applyBorder="1"/>
    <xf numFmtId="0" fontId="5" fillId="4" borderId="0" xfId="2" applyFont="1" applyFill="1" applyBorder="1" applyAlignment="1">
      <alignment horizontal="left"/>
    </xf>
    <xf numFmtId="0" fontId="5" fillId="4" borderId="10" xfId="2" applyFont="1" applyFill="1" applyBorder="1" applyAlignment="1">
      <alignment horizontal="center"/>
    </xf>
    <xf numFmtId="0" fontId="0" fillId="2" borderId="0" xfId="0" applyFill="1"/>
    <xf numFmtId="2" fontId="11" fillId="6" borderId="1" xfId="1" applyNumberFormat="1" applyFont="1" applyFill="1" applyBorder="1" applyAlignment="1">
      <alignment horizontal="center"/>
    </xf>
    <xf numFmtId="0" fontId="1" fillId="3" borderId="0" xfId="0" applyFont="1" applyFill="1" applyBorder="1"/>
    <xf numFmtId="0" fontId="15" fillId="3" borderId="0" xfId="2" applyFill="1" applyBorder="1"/>
    <xf numFmtId="0" fontId="15" fillId="0" borderId="0" xfId="2" applyFill="1" applyBorder="1"/>
    <xf numFmtId="0" fontId="0" fillId="3" borderId="0" xfId="0" applyFill="1" applyBorder="1" applyAlignment="1">
      <alignment horizontal="center"/>
    </xf>
    <xf numFmtId="9" fontId="15" fillId="0" borderId="0" xfId="2" applyNumberFormat="1" applyFill="1" applyBorder="1"/>
    <xf numFmtId="0" fontId="5" fillId="0" borderId="0" xfId="2" applyFont="1" applyFill="1" applyBorder="1"/>
    <xf numFmtId="0" fontId="0" fillId="0" borderId="11" xfId="0" applyBorder="1"/>
    <xf numFmtId="16" fontId="16" fillId="0" borderId="11" xfId="0" applyNumberFormat="1" applyFont="1" applyBorder="1"/>
    <xf numFmtId="0" fontId="16" fillId="0" borderId="11" xfId="0" applyFont="1" applyBorder="1"/>
    <xf numFmtId="0" fontId="1" fillId="2" borderId="0" xfId="0" applyFont="1" applyFill="1" applyBorder="1"/>
    <xf numFmtId="0" fontId="15" fillId="2" borderId="0" xfId="2" applyFill="1" applyBorder="1"/>
    <xf numFmtId="0" fontId="0" fillId="2" borderId="0" xfId="0" applyFill="1" applyBorder="1" applyAlignment="1">
      <alignment horizontal="center"/>
    </xf>
    <xf numFmtId="0" fontId="31" fillId="4" borderId="0" xfId="0" applyFont="1" applyFill="1"/>
    <xf numFmtId="0" fontId="19" fillId="4" borderId="0" xfId="0" applyFont="1" applyFill="1"/>
    <xf numFmtId="0" fontId="8" fillId="11" borderId="0" xfId="0" applyFont="1" applyFill="1"/>
    <xf numFmtId="0" fontId="0" fillId="11" borderId="0" xfId="0" applyFill="1"/>
    <xf numFmtId="0" fontId="21" fillId="11" borderId="0" xfId="0" applyFont="1" applyFill="1"/>
    <xf numFmtId="0" fontId="16" fillId="11" borderId="0" xfId="0" applyFont="1" applyFill="1"/>
    <xf numFmtId="0" fontId="0" fillId="13" borderId="0" xfId="0" applyFill="1"/>
    <xf numFmtId="0" fontId="0" fillId="13" borderId="7" xfId="0" applyFill="1" applyBorder="1"/>
    <xf numFmtId="0" fontId="28" fillId="13" borderId="0" xfId="0" applyFont="1" applyFill="1"/>
    <xf numFmtId="0" fontId="20" fillId="13" borderId="0" xfId="0" applyFont="1" applyFill="1"/>
    <xf numFmtId="0" fontId="28" fillId="13" borderId="0" xfId="0" applyFont="1" applyFill="1" applyBorder="1"/>
    <xf numFmtId="0" fontId="8" fillId="13" borderId="0" xfId="0" applyFont="1" applyFill="1" applyBorder="1"/>
    <xf numFmtId="0" fontId="0" fillId="13" borderId="0" xfId="0" applyFill="1" applyBorder="1"/>
    <xf numFmtId="0" fontId="0" fillId="12" borderId="0" xfId="0" applyFill="1"/>
  </cellXfs>
  <cellStyles count="8">
    <cellStyle name="Komma 2" xfId="3"/>
    <cellStyle name="Komma 2 2" xfId="5"/>
    <cellStyle name="Komma 3" xfId="4"/>
    <cellStyle name="Komma 3 2" xfId="6"/>
    <cellStyle name="Komma 3 3" xfId="7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99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workbookViewId="0">
      <selection activeCell="O9" sqref="O9"/>
    </sheetView>
  </sheetViews>
  <sheetFormatPr defaultRowHeight="15" x14ac:dyDescent="0.25"/>
  <sheetData>
    <row r="1" spans="1:22" x14ac:dyDescent="0.25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22" x14ac:dyDescent="0.25">
      <c r="A2" s="148" t="s">
        <v>307</v>
      </c>
      <c r="B2" s="147"/>
      <c r="C2" s="147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P2" s="23"/>
      <c r="Q2" s="23"/>
      <c r="R2" s="23"/>
      <c r="S2" s="23"/>
      <c r="T2" s="23"/>
      <c r="U2" s="23"/>
    </row>
    <row r="3" spans="1:22" x14ac:dyDescent="0.2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5" t="s">
        <v>9</v>
      </c>
      <c r="J3" s="25" t="s">
        <v>10</v>
      </c>
      <c r="K3" s="25" t="s">
        <v>11</v>
      </c>
      <c r="L3" s="25" t="s">
        <v>12</v>
      </c>
      <c r="M3" s="25" t="s">
        <v>13</v>
      </c>
      <c r="N3" s="26" t="s">
        <v>14</v>
      </c>
      <c r="P3" s="23"/>
      <c r="Q3" s="23"/>
      <c r="R3" s="23"/>
      <c r="S3" s="23"/>
      <c r="T3" s="23"/>
      <c r="U3" s="23"/>
    </row>
    <row r="4" spans="1:22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P4" s="27"/>
      <c r="Q4" s="23"/>
      <c r="R4" s="23"/>
      <c r="S4" s="23"/>
      <c r="T4" s="23"/>
      <c r="U4" s="23"/>
    </row>
    <row r="5" spans="1:22" x14ac:dyDescent="0.25">
      <c r="A5" s="26" t="s">
        <v>15</v>
      </c>
      <c r="B5" s="276">
        <v>58</v>
      </c>
      <c r="C5" s="277">
        <v>61</v>
      </c>
      <c r="D5" s="277">
        <f>61+1-1</f>
        <v>61</v>
      </c>
      <c r="E5" s="277">
        <f>63-0.5</f>
        <v>62.5</v>
      </c>
      <c r="F5" s="277">
        <v>65</v>
      </c>
      <c r="G5" s="278">
        <v>68</v>
      </c>
      <c r="H5" s="37">
        <v>72</v>
      </c>
      <c r="I5" s="37">
        <v>76</v>
      </c>
      <c r="J5" s="37">
        <v>78</v>
      </c>
      <c r="K5" s="37">
        <f>82.5</f>
        <v>82.5</v>
      </c>
      <c r="L5" s="37">
        <f>83+3</f>
        <v>86</v>
      </c>
      <c r="M5" s="3">
        <f>86+3</f>
        <v>89</v>
      </c>
      <c r="N5" s="7">
        <f>SUM(B5:M5)/12</f>
        <v>71.583333333333329</v>
      </c>
      <c r="P5" s="23"/>
      <c r="Q5" s="23"/>
      <c r="R5" s="23"/>
      <c r="S5" s="23"/>
      <c r="T5" s="23"/>
      <c r="U5" s="23"/>
    </row>
    <row r="6" spans="1:22" x14ac:dyDescent="0.25">
      <c r="A6" s="26" t="s">
        <v>16</v>
      </c>
      <c r="B6" s="279"/>
      <c r="C6" s="279"/>
      <c r="D6" s="279"/>
      <c r="E6" s="279">
        <v>1</v>
      </c>
      <c r="F6" s="279">
        <v>1</v>
      </c>
      <c r="G6" s="279">
        <v>1</v>
      </c>
      <c r="H6" s="39">
        <v>1</v>
      </c>
      <c r="I6" s="39"/>
      <c r="J6" s="39"/>
      <c r="K6" s="39"/>
      <c r="L6" s="39"/>
      <c r="M6" s="8"/>
      <c r="N6" s="9">
        <f>SUM(B6:M6)/12</f>
        <v>0.33333333333333331</v>
      </c>
      <c r="P6" s="23"/>
      <c r="Q6" s="23"/>
      <c r="R6" s="23"/>
      <c r="S6" s="23"/>
      <c r="T6" s="23"/>
      <c r="U6" s="23"/>
      <c r="V6" s="23"/>
    </row>
    <row r="7" spans="1:22" x14ac:dyDescent="0.25">
      <c r="A7" s="26" t="s">
        <v>17</v>
      </c>
      <c r="B7" s="280">
        <v>0.5</v>
      </c>
      <c r="C7" s="280"/>
      <c r="D7" s="280"/>
      <c r="E7" s="280"/>
      <c r="F7" s="280"/>
      <c r="G7" s="280"/>
      <c r="H7" s="40"/>
      <c r="I7" s="40"/>
      <c r="J7" s="40"/>
      <c r="K7" s="40"/>
      <c r="L7" s="40"/>
      <c r="M7" s="10"/>
      <c r="N7" s="9">
        <f>SUM(B7:M7)/12</f>
        <v>4.1666666666666664E-2</v>
      </c>
      <c r="P7" s="23"/>
      <c r="Q7" s="23"/>
      <c r="R7" s="23"/>
      <c r="S7" s="23"/>
      <c r="T7" s="23"/>
      <c r="U7" s="171"/>
      <c r="V7" s="171"/>
    </row>
    <row r="8" spans="1:22" x14ac:dyDescent="0.25">
      <c r="A8" s="26"/>
      <c r="B8" s="10"/>
      <c r="C8" s="10"/>
      <c r="D8" s="10"/>
      <c r="E8" s="10"/>
      <c r="F8" s="10"/>
      <c r="G8" s="10"/>
      <c r="H8" s="8"/>
      <c r="I8" s="10"/>
      <c r="J8" s="10"/>
      <c r="K8" s="10"/>
      <c r="L8" s="10"/>
      <c r="M8" s="10"/>
      <c r="N8" s="11"/>
      <c r="P8" s="23"/>
      <c r="Q8" s="23"/>
      <c r="R8" s="23"/>
      <c r="S8" s="23"/>
      <c r="T8" s="23"/>
      <c r="U8" s="171"/>
      <c r="V8" s="171"/>
    </row>
    <row r="9" spans="1:22" x14ac:dyDescent="0.25">
      <c r="A9" s="24" t="s">
        <v>51</v>
      </c>
      <c r="B9" s="3">
        <f>B5+(B7*1.5)+(B6*0.8)</f>
        <v>58.75</v>
      </c>
      <c r="C9" s="3">
        <f>C5+(C7*1.5)+(C6*0.8)</f>
        <v>61</v>
      </c>
      <c r="D9" s="3">
        <f>D5+(D7*1.5)+(D6*0.8)</f>
        <v>61</v>
      </c>
      <c r="E9" s="3">
        <f>E5+(E7*1.5)+(E6*0.8)</f>
        <v>63.3</v>
      </c>
      <c r="F9" s="3">
        <f>F5+(F7*1.5)+(F6*0.8)</f>
        <v>65.8</v>
      </c>
      <c r="G9" s="3">
        <f t="shared" ref="G9:M9" si="0">G5+(G7*1.5)+(G6*0.8)</f>
        <v>68.8</v>
      </c>
      <c r="H9" s="3">
        <f t="shared" si="0"/>
        <v>72.8</v>
      </c>
      <c r="I9" s="3">
        <f t="shared" si="0"/>
        <v>76</v>
      </c>
      <c r="J9" s="3">
        <f t="shared" si="0"/>
        <v>78</v>
      </c>
      <c r="K9" s="3">
        <f t="shared" si="0"/>
        <v>82.5</v>
      </c>
      <c r="L9" s="3">
        <f t="shared" si="0"/>
        <v>86</v>
      </c>
      <c r="M9" s="3">
        <f t="shared" si="0"/>
        <v>89</v>
      </c>
      <c r="N9" s="9">
        <f>SUM(B9:M9)/12</f>
        <v>71.912500000000009</v>
      </c>
      <c r="P9" s="27"/>
      <c r="Q9" s="23"/>
      <c r="R9" s="23"/>
      <c r="S9" s="23"/>
      <c r="T9" s="23"/>
      <c r="U9" s="171"/>
      <c r="V9" s="171"/>
    </row>
    <row r="10" spans="1:22" x14ac:dyDescent="0.25">
      <c r="A10" s="47"/>
      <c r="B10" s="48"/>
      <c r="C10" s="49">
        <v>2</v>
      </c>
      <c r="D10" s="49">
        <v>1</v>
      </c>
      <c r="E10" s="49">
        <v>3</v>
      </c>
      <c r="F10" s="49">
        <v>3</v>
      </c>
      <c r="G10" s="49">
        <v>3</v>
      </c>
      <c r="H10" s="49">
        <v>4</v>
      </c>
      <c r="I10" s="49">
        <v>4</v>
      </c>
      <c r="J10" s="49">
        <v>2</v>
      </c>
      <c r="K10" s="49">
        <v>5</v>
      </c>
      <c r="L10" s="49">
        <v>3</v>
      </c>
      <c r="M10" s="49">
        <v>3</v>
      </c>
      <c r="N10" s="58">
        <f>SUM(B10:M10)</f>
        <v>33</v>
      </c>
      <c r="P10" s="23"/>
      <c r="Q10" s="23"/>
      <c r="R10" s="23"/>
      <c r="S10" s="23"/>
      <c r="T10" s="23"/>
      <c r="U10" s="171"/>
      <c r="V10" s="171"/>
    </row>
    <row r="11" spans="1:22" x14ac:dyDescent="0.25">
      <c r="A11" s="47"/>
      <c r="B11" s="48">
        <v>-180911</v>
      </c>
      <c r="C11" s="50" t="s">
        <v>308</v>
      </c>
      <c r="D11" s="51"/>
      <c r="E11" s="49" t="s">
        <v>353</v>
      </c>
      <c r="F11" s="49"/>
      <c r="H11" s="49"/>
      <c r="I11" s="49" t="s">
        <v>422</v>
      </c>
      <c r="J11" s="49"/>
      <c r="K11" s="49" t="s">
        <v>54</v>
      </c>
      <c r="L11" s="49" t="s">
        <v>54</v>
      </c>
      <c r="M11" s="49"/>
      <c r="N11" s="52"/>
      <c r="P11" s="23"/>
      <c r="Q11" s="23"/>
      <c r="R11" s="23"/>
      <c r="S11" s="23"/>
      <c r="T11" s="23"/>
      <c r="U11" s="171"/>
      <c r="V11" s="171"/>
    </row>
    <row r="12" spans="1:22" x14ac:dyDescent="0.25">
      <c r="A12" s="47"/>
      <c r="B12" s="48"/>
      <c r="C12" s="50"/>
      <c r="D12" s="51"/>
      <c r="E12" s="49"/>
      <c r="F12" s="49"/>
      <c r="G12" s="55"/>
      <c r="H12" s="49"/>
      <c r="J12" s="55"/>
      <c r="K12" s="55" t="s">
        <v>441</v>
      </c>
      <c r="L12" s="55"/>
      <c r="M12" s="55"/>
      <c r="N12" s="170"/>
      <c r="O12" s="23"/>
      <c r="P12" s="23"/>
      <c r="Q12" s="23"/>
      <c r="R12" s="23"/>
      <c r="S12" s="23"/>
      <c r="T12" s="23"/>
      <c r="U12" s="171"/>
      <c r="V12" s="171"/>
    </row>
    <row r="13" spans="1:22" x14ac:dyDescent="0.25">
      <c r="A13" s="31"/>
      <c r="B13" s="32"/>
      <c r="C13" s="49"/>
      <c r="D13" s="41"/>
      <c r="E13" s="33"/>
      <c r="F13" s="33"/>
      <c r="G13" s="50"/>
      <c r="H13" s="45"/>
      <c r="I13" s="45"/>
      <c r="J13" s="45"/>
      <c r="K13" s="45"/>
      <c r="L13" s="45"/>
      <c r="M13" s="45"/>
      <c r="N13" s="46"/>
      <c r="P13" s="23"/>
      <c r="Q13" s="23"/>
      <c r="R13" s="23"/>
      <c r="S13" s="23"/>
      <c r="T13" s="23"/>
      <c r="U13" s="171"/>
      <c r="V13" s="171"/>
    </row>
    <row r="14" spans="1:22" x14ac:dyDescent="0.25">
      <c r="A14" s="130" t="s">
        <v>81</v>
      </c>
      <c r="B14" s="131">
        <v>12</v>
      </c>
      <c r="C14" s="131">
        <v>12</v>
      </c>
      <c r="D14" s="131">
        <v>12</v>
      </c>
      <c r="E14" s="131">
        <v>12</v>
      </c>
      <c r="F14" s="131">
        <v>12</v>
      </c>
      <c r="G14" s="131">
        <v>12</v>
      </c>
      <c r="H14" s="131">
        <v>13</v>
      </c>
      <c r="I14" s="131">
        <v>13</v>
      </c>
      <c r="J14" s="131">
        <v>13</v>
      </c>
      <c r="K14" s="131">
        <v>12</v>
      </c>
      <c r="L14" s="131">
        <v>12</v>
      </c>
      <c r="M14" s="131">
        <v>12</v>
      </c>
      <c r="N14" s="132">
        <f>SUM(B14+C14+D14+E14+F14+G14+H14+I14+J14+K14+L14+M14)/12</f>
        <v>12.25</v>
      </c>
      <c r="O14" s="137"/>
    </row>
    <row r="15" spans="1:22" x14ac:dyDescent="0.25">
      <c r="A15" s="130" t="s">
        <v>82</v>
      </c>
      <c r="B15" s="131"/>
      <c r="C15" s="238"/>
      <c r="D15" s="238"/>
      <c r="E15" s="238"/>
      <c r="F15" s="238"/>
      <c r="G15" s="238"/>
      <c r="H15" s="238">
        <v>1</v>
      </c>
      <c r="I15" s="238" t="s">
        <v>221</v>
      </c>
      <c r="J15" s="238"/>
      <c r="K15" s="238" t="s">
        <v>77</v>
      </c>
      <c r="L15" s="238"/>
      <c r="M15" s="238"/>
      <c r="N15" s="239"/>
      <c r="O15" s="137"/>
    </row>
    <row r="16" spans="1:22" x14ac:dyDescent="0.25">
      <c r="A16" s="47"/>
      <c r="B16" s="48"/>
      <c r="C16" s="49"/>
      <c r="D16" s="51"/>
      <c r="E16" s="49"/>
      <c r="F16" s="227"/>
      <c r="G16" s="178"/>
      <c r="H16" s="55"/>
      <c r="I16" s="55" t="s">
        <v>408</v>
      </c>
      <c r="J16" s="55"/>
      <c r="K16" s="55"/>
      <c r="L16" s="55"/>
      <c r="M16" s="55"/>
      <c r="N16" s="225"/>
      <c r="P16" s="23"/>
      <c r="Q16" s="23"/>
      <c r="R16" s="23"/>
      <c r="S16" s="23"/>
      <c r="T16" s="23"/>
      <c r="U16" s="171"/>
      <c r="V16" s="171"/>
    </row>
    <row r="17" spans="1:22" x14ac:dyDescent="0.25">
      <c r="A17" s="47"/>
      <c r="B17" s="226"/>
      <c r="C17" s="49"/>
      <c r="D17" s="51"/>
      <c r="I17" s="55"/>
      <c r="J17" s="55"/>
      <c r="K17" s="55"/>
      <c r="L17" s="55"/>
      <c r="M17" s="55"/>
      <c r="N17" s="225"/>
      <c r="O17" s="172"/>
      <c r="P17" s="171"/>
      <c r="Q17" s="171"/>
      <c r="R17" s="171"/>
      <c r="S17" s="171"/>
      <c r="T17" s="23"/>
      <c r="U17" s="171"/>
      <c r="V17" s="171"/>
    </row>
    <row r="18" spans="1:22" x14ac:dyDescent="0.25">
      <c r="B18" s="17"/>
      <c r="C18" s="18"/>
    </row>
    <row r="19" spans="1:22" s="1" customFormat="1" x14ac:dyDescent="0.25">
      <c r="A19" s="160" t="s">
        <v>296</v>
      </c>
      <c r="B19" s="160"/>
      <c r="C19" s="160"/>
      <c r="D19" s="160"/>
    </row>
    <row r="20" spans="1:22" s="1" customFormat="1" x14ac:dyDescent="0.25">
      <c r="A20" s="2" t="s">
        <v>1</v>
      </c>
      <c r="B20" s="3" t="s">
        <v>2</v>
      </c>
      <c r="C20" s="3" t="s">
        <v>3</v>
      </c>
      <c r="D20" s="3" t="s">
        <v>4</v>
      </c>
      <c r="E20" s="3" t="s">
        <v>5</v>
      </c>
      <c r="F20" s="3" t="s">
        <v>6</v>
      </c>
      <c r="G20" s="3" t="s">
        <v>7</v>
      </c>
      <c r="H20" s="3" t="s">
        <v>8</v>
      </c>
      <c r="I20" s="3" t="s">
        <v>9</v>
      </c>
      <c r="J20" s="3" t="s">
        <v>10</v>
      </c>
      <c r="K20" s="3" t="s">
        <v>11</v>
      </c>
      <c r="L20" s="3" t="s">
        <v>12</v>
      </c>
      <c r="M20" s="3" t="s">
        <v>13</v>
      </c>
      <c r="N20" s="4" t="s">
        <v>14</v>
      </c>
    </row>
    <row r="21" spans="1:22" s="1" customForma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22" s="1" customFormat="1" x14ac:dyDescent="0.25">
      <c r="A22" s="4" t="s">
        <v>15</v>
      </c>
      <c r="B22" s="5">
        <f>91-34+1</f>
        <v>58</v>
      </c>
      <c r="C22" s="3">
        <v>61</v>
      </c>
      <c r="D22" s="3">
        <v>61</v>
      </c>
      <c r="E22" s="3">
        <v>62</v>
      </c>
      <c r="F22" s="3">
        <v>65</v>
      </c>
      <c r="G22" s="6">
        <v>66</v>
      </c>
      <c r="H22" s="3">
        <v>66</v>
      </c>
      <c r="I22" s="3">
        <v>69</v>
      </c>
      <c r="J22" s="3">
        <v>70</v>
      </c>
      <c r="K22" s="3">
        <v>71</v>
      </c>
      <c r="L22" s="3">
        <v>73</v>
      </c>
      <c r="M22" s="3">
        <v>76</v>
      </c>
      <c r="N22" s="7">
        <f>SUM(B22:M22)/12</f>
        <v>66.5</v>
      </c>
    </row>
    <row r="23" spans="1:22" s="1" customFormat="1" x14ac:dyDescent="0.25">
      <c r="A23" s="4" t="s">
        <v>16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>
        <f>SUM(B23:M23)/12</f>
        <v>0</v>
      </c>
    </row>
    <row r="24" spans="1:22" s="1" customFormat="1" x14ac:dyDescent="0.25">
      <c r="A24" s="4" t="s">
        <v>17</v>
      </c>
      <c r="B24" s="10">
        <v>0.5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9">
        <f>SUM(B24:M24)/12</f>
        <v>4.1666666666666664E-2</v>
      </c>
    </row>
    <row r="25" spans="1:22" s="1" customFormat="1" x14ac:dyDescent="0.25">
      <c r="A25" s="4"/>
      <c r="B25" s="10"/>
      <c r="C25" s="10"/>
      <c r="D25" s="10"/>
      <c r="E25" s="10"/>
      <c r="F25" s="10"/>
      <c r="G25" s="10"/>
      <c r="H25" s="8"/>
      <c r="I25" s="10"/>
      <c r="J25" s="10"/>
      <c r="K25" s="10"/>
      <c r="L25" s="10"/>
      <c r="M25" s="10"/>
      <c r="N25" s="11"/>
      <c r="O25" s="12"/>
    </row>
    <row r="26" spans="1:22" s="1" customFormat="1" x14ac:dyDescent="0.25">
      <c r="A26" s="2" t="s">
        <v>18</v>
      </c>
      <c r="B26" s="3">
        <f>B22+(B24*1.5)+(B23*0.8)</f>
        <v>58.75</v>
      </c>
      <c r="C26" s="3">
        <f>C22+(C24*1.5)+(C23*0.8)</f>
        <v>61</v>
      </c>
      <c r="D26" s="3">
        <f>D22+(D24*1.5)+(D23*0.8)</f>
        <v>61</v>
      </c>
      <c r="E26" s="3">
        <f>E22+(E24*1.5)+(E23*0.8)</f>
        <v>62</v>
      </c>
      <c r="F26" s="3">
        <f>F22+(F24*1.5)+(F23*0.8)</f>
        <v>65</v>
      </c>
      <c r="G26" s="3">
        <f t="shared" ref="G26:M26" si="1">G22+(G24*1.5)+(G23*0.8)</f>
        <v>66</v>
      </c>
      <c r="H26" s="3">
        <f t="shared" si="1"/>
        <v>66</v>
      </c>
      <c r="I26" s="3">
        <f t="shared" si="1"/>
        <v>69</v>
      </c>
      <c r="J26" s="3">
        <f t="shared" si="1"/>
        <v>70</v>
      </c>
      <c r="K26" s="3">
        <f t="shared" si="1"/>
        <v>71</v>
      </c>
      <c r="L26" s="3">
        <f t="shared" si="1"/>
        <v>73</v>
      </c>
      <c r="M26" s="3">
        <f t="shared" si="1"/>
        <v>76</v>
      </c>
      <c r="N26" s="9">
        <f>SUM(B26:M26)/12</f>
        <v>66.5625</v>
      </c>
    </row>
    <row r="27" spans="1:22" s="1" customFormat="1" x14ac:dyDescent="0.25">
      <c r="A27" s="13" t="s">
        <v>19</v>
      </c>
      <c r="B27" s="14">
        <v>2</v>
      </c>
      <c r="C27" s="15">
        <v>2</v>
      </c>
      <c r="D27" s="15">
        <v>0</v>
      </c>
      <c r="E27" s="15">
        <v>1</v>
      </c>
      <c r="F27" s="15">
        <v>3</v>
      </c>
      <c r="G27" s="15">
        <v>1</v>
      </c>
      <c r="H27" s="15">
        <v>0</v>
      </c>
      <c r="I27" s="15">
        <v>3</v>
      </c>
      <c r="J27" s="15">
        <v>1</v>
      </c>
      <c r="K27" s="15">
        <v>1</v>
      </c>
      <c r="L27" s="15">
        <v>2</v>
      </c>
      <c r="M27" s="15">
        <v>3</v>
      </c>
      <c r="N27" s="16">
        <f>SUM(B27:M27)</f>
        <v>19</v>
      </c>
    </row>
    <row r="28" spans="1:22" s="1" customFormat="1" x14ac:dyDescent="0.25">
      <c r="A28" s="233"/>
      <c r="B28" s="249" t="s">
        <v>302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234"/>
    </row>
    <row r="29" spans="1:22" s="1" customFormat="1" x14ac:dyDescent="0.25">
      <c r="A29" s="233"/>
      <c r="B29" s="14" t="s">
        <v>256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34"/>
    </row>
    <row r="31" spans="1:22" x14ac:dyDescent="0.25">
      <c r="A31" s="130" t="s">
        <v>81</v>
      </c>
      <c r="B31" s="131">
        <v>12</v>
      </c>
      <c r="C31" s="131">
        <v>12</v>
      </c>
      <c r="D31" s="131">
        <v>12</v>
      </c>
      <c r="E31" s="131">
        <v>12</v>
      </c>
      <c r="F31" s="131">
        <v>12</v>
      </c>
      <c r="G31" s="131">
        <v>12</v>
      </c>
      <c r="H31" s="131">
        <v>12</v>
      </c>
      <c r="I31" s="131">
        <v>12</v>
      </c>
      <c r="J31" s="131">
        <v>12</v>
      </c>
      <c r="K31" s="131">
        <v>12</v>
      </c>
      <c r="L31" s="131">
        <v>12</v>
      </c>
      <c r="M31" s="131">
        <v>12</v>
      </c>
      <c r="N31" s="132">
        <f>SUM(B31+C31+D31+E31+F31+G31+H31+I31+J31+K31+L31+M31)/12</f>
        <v>12</v>
      </c>
      <c r="O31" s="137"/>
    </row>
    <row r="32" spans="1:22" x14ac:dyDescent="0.25">
      <c r="A32" s="130" t="s">
        <v>82</v>
      </c>
      <c r="B32" s="131"/>
      <c r="C32" s="131"/>
      <c r="D32" s="131"/>
      <c r="E32" s="131"/>
      <c r="F32" s="131"/>
      <c r="G32" s="131"/>
      <c r="H32" s="131"/>
      <c r="I32" s="131" t="s">
        <v>222</v>
      </c>
      <c r="J32" s="131"/>
      <c r="K32" s="131"/>
      <c r="L32" s="131"/>
      <c r="M32" s="131"/>
      <c r="N32" s="132"/>
      <c r="O32" s="137"/>
    </row>
    <row r="33" spans="1:15" x14ac:dyDescent="0.25">
      <c r="I33">
        <v>1</v>
      </c>
    </row>
    <row r="34" spans="1:15" x14ac:dyDescent="0.25">
      <c r="I34" t="s">
        <v>223</v>
      </c>
    </row>
    <row r="35" spans="1:15" x14ac:dyDescent="0.25">
      <c r="I35" t="s">
        <v>224</v>
      </c>
    </row>
    <row r="36" spans="1:15" s="1" customFormat="1" x14ac:dyDescent="0.25">
      <c r="A36" s="35" t="s">
        <v>407</v>
      </c>
      <c r="B36" s="35"/>
      <c r="C36" s="35"/>
      <c r="D36" s="35"/>
    </row>
    <row r="37" spans="1:15" s="1" customFormat="1" x14ac:dyDescent="0.25">
      <c r="A37" s="2" t="s">
        <v>1</v>
      </c>
      <c r="B37" s="3" t="s">
        <v>2</v>
      </c>
      <c r="C37" s="3" t="s">
        <v>3</v>
      </c>
      <c r="D37" s="3" t="s">
        <v>4</v>
      </c>
      <c r="E37" s="3" t="s">
        <v>5</v>
      </c>
      <c r="F37" s="3" t="s">
        <v>6</v>
      </c>
      <c r="G37" s="3" t="s">
        <v>7</v>
      </c>
      <c r="H37" s="3" t="s">
        <v>8</v>
      </c>
      <c r="I37" s="3" t="s">
        <v>9</v>
      </c>
      <c r="J37" s="3" t="s">
        <v>10</v>
      </c>
      <c r="K37" s="3" t="s">
        <v>11</v>
      </c>
      <c r="L37" s="3" t="s">
        <v>12</v>
      </c>
      <c r="M37" s="3" t="s">
        <v>13</v>
      </c>
      <c r="N37" s="4" t="s">
        <v>14</v>
      </c>
    </row>
    <row r="38" spans="1:15" s="1" customForma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5" s="1" customFormat="1" x14ac:dyDescent="0.25">
      <c r="A39" s="4" t="s">
        <v>15</v>
      </c>
      <c r="B39" s="5">
        <f>84-18+2</f>
        <v>68</v>
      </c>
      <c r="C39" s="3">
        <v>68</v>
      </c>
      <c r="D39" s="3">
        <v>69</v>
      </c>
      <c r="E39" s="3">
        <v>71</v>
      </c>
      <c r="F39" s="3">
        <v>73</v>
      </c>
      <c r="G39" s="6">
        <v>75</v>
      </c>
      <c r="H39" s="3">
        <v>75</v>
      </c>
      <c r="I39" s="3">
        <v>77</v>
      </c>
      <c r="J39" s="3">
        <v>80</v>
      </c>
      <c r="K39" s="3">
        <v>82</v>
      </c>
      <c r="L39" s="3">
        <v>83</v>
      </c>
      <c r="M39" s="3">
        <v>84</v>
      </c>
      <c r="N39" s="7">
        <f>SUM(B39:M39)/12</f>
        <v>75.416666666666671</v>
      </c>
    </row>
    <row r="40" spans="1:15" s="1" customFormat="1" x14ac:dyDescent="0.25">
      <c r="A40" s="4" t="s">
        <v>16</v>
      </c>
      <c r="B40" s="8">
        <v>1</v>
      </c>
      <c r="C40" s="8">
        <v>1</v>
      </c>
      <c r="D40" s="8">
        <v>1</v>
      </c>
      <c r="E40" s="8">
        <v>1</v>
      </c>
      <c r="F40" s="8">
        <v>1</v>
      </c>
      <c r="G40" s="8">
        <v>1</v>
      </c>
      <c r="H40" s="8">
        <v>1</v>
      </c>
      <c r="I40" s="8">
        <v>1</v>
      </c>
      <c r="J40" s="8">
        <v>1</v>
      </c>
      <c r="K40" s="8">
        <v>1</v>
      </c>
      <c r="L40" s="8">
        <v>1</v>
      </c>
      <c r="M40" s="8">
        <v>1</v>
      </c>
      <c r="N40" s="9">
        <f>SUM(B40:M40)/12</f>
        <v>1</v>
      </c>
    </row>
    <row r="41" spans="1:15" s="1" customFormat="1" x14ac:dyDescent="0.25">
      <c r="A41" s="4" t="s">
        <v>17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9">
        <f>SUM(B41:M41)/12</f>
        <v>0</v>
      </c>
    </row>
    <row r="42" spans="1:15" s="1" customFormat="1" x14ac:dyDescent="0.25">
      <c r="A42" s="4"/>
      <c r="B42" s="10"/>
      <c r="C42" s="10"/>
      <c r="D42" s="10"/>
      <c r="E42" s="10"/>
      <c r="F42" s="10"/>
      <c r="G42" s="10"/>
      <c r="H42" s="8"/>
      <c r="I42" s="10"/>
      <c r="J42" s="10"/>
      <c r="K42" s="10"/>
      <c r="L42" s="10"/>
      <c r="M42" s="10"/>
      <c r="N42" s="11"/>
      <c r="O42" s="12"/>
    </row>
    <row r="43" spans="1:15" s="1" customFormat="1" x14ac:dyDescent="0.25">
      <c r="A43" s="2" t="s">
        <v>269</v>
      </c>
      <c r="B43" s="3">
        <f>B39+(B41*1.5)+(B40*0.8)</f>
        <v>68.8</v>
      </c>
      <c r="C43" s="3">
        <f>C39+(C41*1.5)+(C40*0.8)</f>
        <v>68.8</v>
      </c>
      <c r="D43" s="3">
        <f>D39+(D41*1.5)+(D40*0.8)</f>
        <v>69.8</v>
      </c>
      <c r="E43" s="3">
        <f>E39+(E41*1.5)+(E40*0.8)</f>
        <v>71.8</v>
      </c>
      <c r="F43" s="3">
        <f>F39+(F41*1.5)+(F40*0.8)</f>
        <v>73.8</v>
      </c>
      <c r="G43" s="3">
        <f t="shared" ref="G43:M43" si="2">G39+(G41*1.5)+(G40*0.8)</f>
        <v>75.8</v>
      </c>
      <c r="H43" s="3">
        <f t="shared" si="2"/>
        <v>75.8</v>
      </c>
      <c r="I43" s="3">
        <f t="shared" si="2"/>
        <v>77.8</v>
      </c>
      <c r="J43" s="3">
        <f t="shared" si="2"/>
        <v>80.8</v>
      </c>
      <c r="K43" s="3">
        <f t="shared" si="2"/>
        <v>82.8</v>
      </c>
      <c r="L43" s="3">
        <f t="shared" si="2"/>
        <v>83.8</v>
      </c>
      <c r="M43" s="3">
        <f t="shared" si="2"/>
        <v>84.8</v>
      </c>
      <c r="N43" s="9">
        <f>SUM(B43:M43)/12</f>
        <v>76.216666666666654</v>
      </c>
    </row>
    <row r="44" spans="1:15" s="1" customFormat="1" x14ac:dyDescent="0.25">
      <c r="A44" s="13" t="s">
        <v>19</v>
      </c>
      <c r="B44" s="14">
        <v>2</v>
      </c>
      <c r="C44" s="15">
        <v>0</v>
      </c>
      <c r="D44" s="15">
        <v>1</v>
      </c>
      <c r="E44" s="15">
        <v>2</v>
      </c>
      <c r="F44" s="15">
        <v>2</v>
      </c>
      <c r="G44" s="15">
        <v>2</v>
      </c>
      <c r="H44" s="15">
        <v>0</v>
      </c>
      <c r="I44" s="15">
        <v>2</v>
      </c>
      <c r="J44" s="15">
        <v>3</v>
      </c>
      <c r="K44" s="15">
        <v>2</v>
      </c>
      <c r="L44" s="15">
        <v>1</v>
      </c>
      <c r="M44" s="15">
        <v>1</v>
      </c>
      <c r="N44" s="16">
        <f>SUM(B44:M44)</f>
        <v>18</v>
      </c>
    </row>
    <row r="45" spans="1:15" s="1" customFormat="1" x14ac:dyDescent="0.25">
      <c r="A45" s="233"/>
      <c r="B45" s="249" t="s">
        <v>21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234"/>
    </row>
    <row r="46" spans="1:15" s="1" customFormat="1" x14ac:dyDescent="0.25">
      <c r="A46" s="233"/>
      <c r="B46" s="14" t="s">
        <v>410</v>
      </c>
      <c r="C46" s="15"/>
      <c r="D46" s="15"/>
      <c r="E46" s="15" t="s">
        <v>410</v>
      </c>
      <c r="F46" s="15" t="s">
        <v>411</v>
      </c>
      <c r="G46" s="15" t="s">
        <v>411</v>
      </c>
      <c r="H46" s="15"/>
      <c r="I46" s="15" t="s">
        <v>411</v>
      </c>
      <c r="J46" s="15" t="s">
        <v>410</v>
      </c>
      <c r="K46" s="15" t="s">
        <v>410</v>
      </c>
      <c r="L46" s="15" t="s">
        <v>414</v>
      </c>
      <c r="M46" s="15" t="s">
        <v>414</v>
      </c>
      <c r="N46" s="234"/>
    </row>
    <row r="47" spans="1:15" x14ac:dyDescent="0.25">
      <c r="B47" s="84" t="s">
        <v>412</v>
      </c>
      <c r="C47" s="84"/>
      <c r="D47" s="84"/>
      <c r="E47" s="84"/>
      <c r="F47" s="84"/>
      <c r="G47" s="84"/>
      <c r="H47" s="84"/>
      <c r="I47" s="84"/>
      <c r="J47" s="84" t="s">
        <v>413</v>
      </c>
      <c r="K47" s="84" t="s">
        <v>412</v>
      </c>
      <c r="L47" s="84"/>
      <c r="M47" s="84"/>
    </row>
    <row r="48" spans="1:15" x14ac:dyDescent="0.25">
      <c r="A48" s="130" t="s">
        <v>81</v>
      </c>
      <c r="B48" s="131">
        <v>12</v>
      </c>
      <c r="C48" s="131">
        <v>12</v>
      </c>
      <c r="D48" s="131">
        <v>12</v>
      </c>
      <c r="E48" s="131">
        <v>11</v>
      </c>
      <c r="F48" s="131">
        <v>11</v>
      </c>
      <c r="G48" s="131">
        <v>10</v>
      </c>
      <c r="H48" s="131">
        <v>10</v>
      </c>
      <c r="I48" s="131">
        <v>10</v>
      </c>
      <c r="J48" s="131">
        <v>8</v>
      </c>
      <c r="K48" s="131">
        <v>5</v>
      </c>
      <c r="L48" s="131">
        <v>4</v>
      </c>
      <c r="M48" s="131">
        <v>3</v>
      </c>
      <c r="N48" s="132">
        <f>SUM(B48+C48+D48+E48+F48+G48+H48+I48+J48+K48+L48+M48)/12</f>
        <v>9</v>
      </c>
      <c r="O48" s="137"/>
    </row>
    <row r="49" spans="1:15" x14ac:dyDescent="0.25">
      <c r="A49" s="130" t="s">
        <v>82</v>
      </c>
      <c r="B49" s="283"/>
      <c r="C49" s="283"/>
      <c r="D49" s="283" t="s">
        <v>136</v>
      </c>
      <c r="E49" s="283" t="s">
        <v>59</v>
      </c>
      <c r="F49" s="283"/>
      <c r="G49" s="283" t="s">
        <v>377</v>
      </c>
      <c r="H49" s="283"/>
      <c r="I49" s="283"/>
      <c r="J49" s="283" t="s">
        <v>76</v>
      </c>
      <c r="K49" s="283" t="s">
        <v>409</v>
      </c>
      <c r="L49" s="283" t="s">
        <v>219</v>
      </c>
      <c r="M49" s="283" t="s">
        <v>156</v>
      </c>
      <c r="N49" s="289"/>
      <c r="O49" s="137"/>
    </row>
    <row r="50" spans="1:15" x14ac:dyDescent="0.25">
      <c r="A50" s="217"/>
      <c r="B50" s="217"/>
      <c r="C50" s="217"/>
      <c r="D50" s="217">
        <v>1</v>
      </c>
      <c r="E50" s="217"/>
      <c r="F50" s="217"/>
      <c r="G50" s="217"/>
      <c r="H50" s="217"/>
      <c r="I50" s="217"/>
      <c r="J50" s="217"/>
      <c r="K50" s="217"/>
      <c r="L50" s="217"/>
      <c r="M50" s="217"/>
      <c r="N50" s="217"/>
    </row>
    <row r="52" spans="1:15" x14ac:dyDescent="0.25">
      <c r="B52" s="17"/>
      <c r="C52" s="18"/>
    </row>
    <row r="53" spans="1:15" x14ac:dyDescent="0.25">
      <c r="B53" s="17"/>
      <c r="C53" s="18"/>
    </row>
    <row r="55" spans="1:15" s="1" customFormat="1" x14ac:dyDescent="0.25">
      <c r="A55" s="232" t="s">
        <v>249</v>
      </c>
      <c r="B55" s="232"/>
      <c r="C55" s="232"/>
      <c r="D55" s="232"/>
    </row>
    <row r="56" spans="1:15" s="1" customFormat="1" x14ac:dyDescent="0.25">
      <c r="A56" s="2" t="s">
        <v>1</v>
      </c>
      <c r="B56" s="3" t="s">
        <v>2</v>
      </c>
      <c r="C56" s="3" t="s">
        <v>3</v>
      </c>
      <c r="D56" s="3" t="s">
        <v>4</v>
      </c>
      <c r="E56" s="3" t="s">
        <v>5</v>
      </c>
      <c r="F56" s="3" t="s">
        <v>6</v>
      </c>
      <c r="G56" s="3" t="s">
        <v>7</v>
      </c>
      <c r="H56" s="3" t="s">
        <v>8</v>
      </c>
      <c r="I56" s="3" t="s">
        <v>9</v>
      </c>
      <c r="J56" s="3" t="s">
        <v>10</v>
      </c>
      <c r="K56" s="3" t="s">
        <v>11</v>
      </c>
      <c r="L56" s="3" t="s">
        <v>12</v>
      </c>
      <c r="M56" s="3" t="s">
        <v>13</v>
      </c>
      <c r="N56" s="4" t="s">
        <v>14</v>
      </c>
    </row>
    <row r="57" spans="1:15" s="1" customForma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5" s="1" customFormat="1" x14ac:dyDescent="0.25">
      <c r="A58" s="4" t="s">
        <v>15</v>
      </c>
      <c r="B58" s="5">
        <f>90-34+1</f>
        <v>57</v>
      </c>
      <c r="C58" s="3">
        <v>60</v>
      </c>
      <c r="D58" s="3">
        <v>60</v>
      </c>
      <c r="E58" s="3">
        <v>61</v>
      </c>
      <c r="F58" s="3">
        <v>64</v>
      </c>
      <c r="G58" s="6">
        <v>65</v>
      </c>
      <c r="H58" s="3">
        <v>65</v>
      </c>
      <c r="I58" s="3">
        <v>68</v>
      </c>
      <c r="J58" s="3">
        <v>69</v>
      </c>
      <c r="K58" s="3">
        <v>70</v>
      </c>
      <c r="L58" s="3">
        <v>72</v>
      </c>
      <c r="M58" s="3">
        <v>74</v>
      </c>
      <c r="N58" s="7">
        <f>SUM(B58:M58)/12</f>
        <v>65.416666666666671</v>
      </c>
    </row>
    <row r="59" spans="1:15" s="1" customFormat="1" x14ac:dyDescent="0.25">
      <c r="A59" s="4" t="s">
        <v>16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9">
        <f>SUM(B59:M59)/12</f>
        <v>0</v>
      </c>
    </row>
    <row r="60" spans="1:15" s="1" customFormat="1" x14ac:dyDescent="0.25">
      <c r="A60" s="4" t="s">
        <v>17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9">
        <f>SUM(B60:M60)/12</f>
        <v>0</v>
      </c>
    </row>
    <row r="61" spans="1:15" s="1" customFormat="1" x14ac:dyDescent="0.25">
      <c r="A61" s="4"/>
      <c r="B61" s="10"/>
      <c r="C61" s="10"/>
      <c r="D61" s="10"/>
      <c r="E61" s="10"/>
      <c r="F61" s="10"/>
      <c r="G61" s="10"/>
      <c r="H61" s="8"/>
      <c r="I61" s="10"/>
      <c r="J61" s="10"/>
      <c r="K61" s="10"/>
      <c r="L61" s="10"/>
      <c r="M61" s="10"/>
      <c r="N61" s="11"/>
      <c r="O61" s="12"/>
    </row>
    <row r="62" spans="1:15" s="1" customFormat="1" x14ac:dyDescent="0.25">
      <c r="A62" s="2" t="s">
        <v>18</v>
      </c>
      <c r="B62" s="3">
        <f>B58+(B60*1.5)+(B59*0.8)</f>
        <v>57</v>
      </c>
      <c r="C62" s="3">
        <f>C58+(C60*1.5)+(C59*0.8)</f>
        <v>60</v>
      </c>
      <c r="D62" s="3">
        <f>D58+(D60*1.5)+(D59*0.8)</f>
        <v>60</v>
      </c>
      <c r="E62" s="3">
        <f>E58+(E60*1.5)+(E59*0.8)</f>
        <v>61</v>
      </c>
      <c r="F62" s="3">
        <f>F58+(F60*1.5)+(F59*0.8)</f>
        <v>64</v>
      </c>
      <c r="G62" s="3">
        <f t="shared" ref="G62:M62" si="3">G58+(G60*1.5)+(G59*0.8)</f>
        <v>65</v>
      </c>
      <c r="H62" s="3">
        <f t="shared" si="3"/>
        <v>65</v>
      </c>
      <c r="I62" s="3">
        <f t="shared" si="3"/>
        <v>68</v>
      </c>
      <c r="J62" s="3">
        <f t="shared" si="3"/>
        <v>69</v>
      </c>
      <c r="K62" s="3">
        <f t="shared" si="3"/>
        <v>70</v>
      </c>
      <c r="L62" s="3">
        <f t="shared" si="3"/>
        <v>72</v>
      </c>
      <c r="M62" s="3">
        <f t="shared" si="3"/>
        <v>74</v>
      </c>
      <c r="N62" s="9">
        <f>SUM(B62:M62)/12</f>
        <v>65.416666666666671</v>
      </c>
    </row>
    <row r="63" spans="1:15" s="1" customFormat="1" x14ac:dyDescent="0.25">
      <c r="A63" s="13" t="s">
        <v>19</v>
      </c>
      <c r="B63" s="14">
        <v>1</v>
      </c>
      <c r="C63" s="15">
        <v>3</v>
      </c>
      <c r="D63" s="15"/>
      <c r="E63" s="15">
        <v>1</v>
      </c>
      <c r="F63" s="15">
        <v>3</v>
      </c>
      <c r="G63" s="15">
        <v>1</v>
      </c>
      <c r="H63" s="15">
        <v>0</v>
      </c>
      <c r="I63" s="15">
        <v>3</v>
      </c>
      <c r="J63" s="15">
        <v>1</v>
      </c>
      <c r="K63" s="15">
        <v>1</v>
      </c>
      <c r="L63" s="15">
        <v>2</v>
      </c>
      <c r="M63" s="15">
        <v>2</v>
      </c>
      <c r="N63" s="16">
        <f>SUM(B63:M63)</f>
        <v>18</v>
      </c>
    </row>
    <row r="64" spans="1:15" s="1" customFormat="1" x14ac:dyDescent="0.25">
      <c r="A64" s="233"/>
      <c r="B64" s="14" t="s">
        <v>256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234"/>
    </row>
    <row r="66" spans="1:15" x14ac:dyDescent="0.25">
      <c r="A66" s="130" t="s">
        <v>81</v>
      </c>
      <c r="B66" s="131">
        <v>12</v>
      </c>
      <c r="C66" s="131">
        <v>12</v>
      </c>
      <c r="D66" s="131">
        <v>12</v>
      </c>
      <c r="E66" s="131">
        <v>12</v>
      </c>
      <c r="F66" s="131">
        <v>12</v>
      </c>
      <c r="G66" s="131">
        <v>12</v>
      </c>
      <c r="H66" s="131">
        <v>12</v>
      </c>
      <c r="I66" s="131">
        <v>12</v>
      </c>
      <c r="J66" s="131">
        <v>12</v>
      </c>
      <c r="K66" s="131">
        <v>12</v>
      </c>
      <c r="L66" s="131">
        <v>12</v>
      </c>
      <c r="M66" s="131">
        <v>12</v>
      </c>
      <c r="N66" s="132">
        <f>SUM(B66+C66+D66+E66+F66+G66+H66+I66+J66+K66+L66+M66)/12</f>
        <v>12</v>
      </c>
      <c r="O66" s="137"/>
    </row>
    <row r="67" spans="1:15" x14ac:dyDescent="0.25">
      <c r="A67" s="130" t="s">
        <v>82</v>
      </c>
      <c r="B67" s="131"/>
      <c r="C67" s="131"/>
      <c r="D67" s="131"/>
      <c r="E67" s="131"/>
      <c r="F67" s="131"/>
      <c r="G67" s="131"/>
      <c r="H67" s="131"/>
      <c r="I67" s="131" t="s">
        <v>222</v>
      </c>
      <c r="J67" s="131"/>
      <c r="K67" s="131"/>
      <c r="L67" s="131"/>
      <c r="M67" s="131"/>
      <c r="N67" s="132"/>
      <c r="O67" s="137"/>
    </row>
    <row r="68" spans="1:15" x14ac:dyDescent="0.25">
      <c r="I68">
        <v>1</v>
      </c>
    </row>
    <row r="69" spans="1:15" x14ac:dyDescent="0.25">
      <c r="I69" t="s">
        <v>223</v>
      </c>
    </row>
    <row r="70" spans="1:15" x14ac:dyDescent="0.25">
      <c r="I70" t="s">
        <v>224</v>
      </c>
    </row>
    <row r="71" spans="1:15" s="1" customFormat="1" x14ac:dyDescent="0.25">
      <c r="A71" s="190" t="s">
        <v>128</v>
      </c>
      <c r="B71" s="190"/>
      <c r="C71" s="190"/>
      <c r="D71" s="190"/>
    </row>
    <row r="72" spans="1:15" s="1" customFormat="1" x14ac:dyDescent="0.25">
      <c r="A72" s="2" t="s">
        <v>1</v>
      </c>
      <c r="B72" s="3" t="s">
        <v>2</v>
      </c>
      <c r="C72" s="3" t="s">
        <v>3</v>
      </c>
      <c r="D72" s="3" t="s">
        <v>4</v>
      </c>
      <c r="E72" s="3" t="s">
        <v>5</v>
      </c>
      <c r="F72" s="3" t="s">
        <v>6</v>
      </c>
      <c r="G72" s="3" t="s">
        <v>7</v>
      </c>
      <c r="H72" s="3" t="s">
        <v>8</v>
      </c>
      <c r="I72" s="3" t="s">
        <v>9</v>
      </c>
      <c r="J72" s="3" t="s">
        <v>10</v>
      </c>
      <c r="K72" s="3" t="s">
        <v>11</v>
      </c>
      <c r="L72" s="3" t="s">
        <v>12</v>
      </c>
      <c r="M72" s="3" t="s">
        <v>13</v>
      </c>
      <c r="N72" s="4" t="s">
        <v>14</v>
      </c>
    </row>
    <row r="73" spans="1:15" s="1" customForma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5" s="1" customFormat="1" x14ac:dyDescent="0.25">
      <c r="A74" s="4" t="s">
        <v>15</v>
      </c>
      <c r="B74" s="5">
        <f>95-35+1</f>
        <v>61</v>
      </c>
      <c r="C74" s="3">
        <v>64</v>
      </c>
      <c r="D74" s="3">
        <v>65</v>
      </c>
      <c r="E74" s="3">
        <v>66</v>
      </c>
      <c r="F74" s="3">
        <v>69</v>
      </c>
      <c r="G74" s="6">
        <v>70</v>
      </c>
      <c r="H74" s="3">
        <v>70</v>
      </c>
      <c r="I74" s="3">
        <v>71</v>
      </c>
      <c r="J74" s="3">
        <v>72</v>
      </c>
      <c r="K74" s="3">
        <v>73</v>
      </c>
      <c r="L74" s="3">
        <v>75</v>
      </c>
      <c r="M74" s="3">
        <v>79</v>
      </c>
      <c r="N74" s="7">
        <f>SUM(B74:M74)/12</f>
        <v>69.583333333333329</v>
      </c>
    </row>
    <row r="75" spans="1:15" s="1" customFormat="1" x14ac:dyDescent="0.25">
      <c r="A75" s="4" t="s">
        <v>16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9">
        <f>SUM(B75:M75)/12</f>
        <v>0</v>
      </c>
    </row>
    <row r="76" spans="1:15" s="1" customFormat="1" x14ac:dyDescent="0.25">
      <c r="A76" s="4" t="s">
        <v>17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9">
        <f>SUM(B76:M76)/12</f>
        <v>0</v>
      </c>
    </row>
    <row r="77" spans="1:15" s="1" customFormat="1" x14ac:dyDescent="0.25">
      <c r="A77" s="4"/>
      <c r="B77" s="10"/>
      <c r="C77" s="10"/>
      <c r="D77" s="10"/>
      <c r="E77" s="10"/>
      <c r="F77" s="10"/>
      <c r="G77" s="10"/>
      <c r="H77" s="8"/>
      <c r="I77" s="10"/>
      <c r="J77" s="10"/>
      <c r="K77" s="10"/>
      <c r="L77" s="10"/>
      <c r="M77" s="10"/>
      <c r="N77" s="11"/>
      <c r="O77" s="12"/>
    </row>
    <row r="78" spans="1:15" s="1" customFormat="1" x14ac:dyDescent="0.25">
      <c r="A78" s="2" t="s">
        <v>18</v>
      </c>
      <c r="B78" s="3">
        <f>B74+(B76*1.5)+(B75*0.8)</f>
        <v>61</v>
      </c>
      <c r="C78" s="3">
        <f>C74+(C76*1.5)+(C75*0.8)</f>
        <v>64</v>
      </c>
      <c r="D78" s="3">
        <f>D74+(D76*1.5)+(D75*0.8)</f>
        <v>65</v>
      </c>
      <c r="E78" s="3">
        <f>E74+(E76*1.5)+(E75*0.8)</f>
        <v>66</v>
      </c>
      <c r="F78" s="3">
        <f>F74+(F76*1.5)+(F75*0.8)</f>
        <v>69</v>
      </c>
      <c r="G78" s="3">
        <f t="shared" ref="G78:M78" si="4">G74+(G76*1.5)+(G75*0.8)</f>
        <v>70</v>
      </c>
      <c r="H78" s="3">
        <f t="shared" si="4"/>
        <v>70</v>
      </c>
      <c r="I78" s="3">
        <f t="shared" si="4"/>
        <v>71</v>
      </c>
      <c r="J78" s="3">
        <f t="shared" si="4"/>
        <v>72</v>
      </c>
      <c r="K78" s="3">
        <f t="shared" si="4"/>
        <v>73</v>
      </c>
      <c r="L78" s="3">
        <f t="shared" si="4"/>
        <v>75</v>
      </c>
      <c r="M78" s="3">
        <f t="shared" si="4"/>
        <v>79</v>
      </c>
      <c r="N78" s="9">
        <f>SUM(B78:M78)/12</f>
        <v>69.583333333333329</v>
      </c>
    </row>
    <row r="79" spans="1:15" s="1" customFormat="1" x14ac:dyDescent="0.25">
      <c r="A79" s="13" t="s">
        <v>19</v>
      </c>
      <c r="B79" s="14">
        <v>1</v>
      </c>
      <c r="C79" s="15">
        <v>3</v>
      </c>
      <c r="D79" s="15">
        <v>1</v>
      </c>
      <c r="E79" s="15">
        <v>1</v>
      </c>
      <c r="F79" s="15">
        <v>3</v>
      </c>
      <c r="G79" s="15">
        <v>1</v>
      </c>
      <c r="H79" s="15">
        <v>0</v>
      </c>
      <c r="I79" s="15">
        <v>1</v>
      </c>
      <c r="J79" s="15">
        <v>1</v>
      </c>
      <c r="K79" s="15">
        <v>1</v>
      </c>
      <c r="L79" s="15">
        <v>2</v>
      </c>
      <c r="M79" s="15">
        <v>3</v>
      </c>
      <c r="N79" s="16">
        <f>SUM(B79:M79)</f>
        <v>18</v>
      </c>
    </row>
    <row r="81" spans="1:22" x14ac:dyDescent="0.25">
      <c r="A81" s="130" t="s">
        <v>81</v>
      </c>
      <c r="B81" s="131">
        <f>8+3</f>
        <v>11</v>
      </c>
      <c r="C81" s="131">
        <v>11</v>
      </c>
      <c r="D81" s="131">
        <v>12</v>
      </c>
      <c r="E81" s="131">
        <v>12</v>
      </c>
      <c r="F81" s="131">
        <v>12</v>
      </c>
      <c r="G81" s="131">
        <v>12</v>
      </c>
      <c r="H81" s="131">
        <v>12</v>
      </c>
      <c r="I81" s="131">
        <v>11</v>
      </c>
      <c r="J81" s="131">
        <v>11</v>
      </c>
      <c r="K81" s="131">
        <v>11</v>
      </c>
      <c r="L81" s="131">
        <v>11</v>
      </c>
      <c r="M81" s="131">
        <v>11</v>
      </c>
      <c r="N81" s="132">
        <f>SUM(B81+C81+D81+E81+F81+G81+H81+I81+J81+K81+L81+M81)/12</f>
        <v>11.416666666666666</v>
      </c>
      <c r="O81" s="137"/>
    </row>
    <row r="82" spans="1:22" x14ac:dyDescent="0.25">
      <c r="A82" s="130" t="s">
        <v>82</v>
      </c>
      <c r="B82" s="131" t="s">
        <v>173</v>
      </c>
      <c r="C82" s="131"/>
      <c r="D82" s="131" t="s">
        <v>172</v>
      </c>
      <c r="E82" s="131"/>
      <c r="F82" s="131"/>
      <c r="G82" s="131"/>
      <c r="H82" s="131"/>
      <c r="I82" s="131" t="s">
        <v>174</v>
      </c>
      <c r="J82" s="131"/>
      <c r="K82" s="131"/>
      <c r="L82" s="131"/>
      <c r="M82" s="131"/>
      <c r="N82" s="132"/>
      <c r="O82" s="137"/>
    </row>
    <row r="84" spans="1:22" x14ac:dyDescent="0.25">
      <c r="A84" s="191" t="s">
        <v>113</v>
      </c>
      <c r="B84" s="173"/>
      <c r="C84" s="173"/>
      <c r="D84" s="174"/>
      <c r="E84" s="174"/>
      <c r="F84" s="174"/>
      <c r="G84" s="174"/>
      <c r="H84" s="174"/>
      <c r="I84" s="175"/>
      <c r="J84" s="175"/>
      <c r="K84" s="175"/>
      <c r="L84" s="175"/>
      <c r="M84" s="175"/>
      <c r="N84" s="175"/>
      <c r="O84" s="172"/>
      <c r="P84" s="171"/>
      <c r="Q84" s="171"/>
      <c r="R84" s="171"/>
      <c r="S84" s="171"/>
      <c r="T84" s="23"/>
      <c r="U84" s="171"/>
      <c r="V84" s="171"/>
    </row>
    <row r="85" spans="1:22" x14ac:dyDescent="0.25">
      <c r="A85" s="140" t="s">
        <v>1</v>
      </c>
      <c r="B85" s="141" t="s">
        <v>2</v>
      </c>
      <c r="C85" s="141" t="s">
        <v>3</v>
      </c>
      <c r="D85" s="141" t="s">
        <v>4</v>
      </c>
      <c r="E85" s="141" t="s">
        <v>5</v>
      </c>
      <c r="F85" s="141" t="s">
        <v>6</v>
      </c>
      <c r="G85" s="141" t="s">
        <v>7</v>
      </c>
      <c r="H85" s="141" t="s">
        <v>8</v>
      </c>
      <c r="I85" s="141" t="s">
        <v>9</v>
      </c>
      <c r="J85" s="141" t="s">
        <v>10</v>
      </c>
      <c r="K85" s="141" t="s">
        <v>11</v>
      </c>
      <c r="L85" s="141" t="s">
        <v>12</v>
      </c>
      <c r="M85" s="141" t="s">
        <v>13</v>
      </c>
      <c r="N85" s="142" t="s">
        <v>14</v>
      </c>
      <c r="O85" s="172"/>
      <c r="P85" s="171"/>
      <c r="Q85" s="171"/>
      <c r="R85" s="171"/>
      <c r="S85" s="171"/>
      <c r="T85" s="23"/>
      <c r="U85" s="171"/>
      <c r="V85" s="171"/>
    </row>
    <row r="86" spans="1:22" x14ac:dyDescent="0.2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72"/>
      <c r="P86" s="176"/>
      <c r="Q86" s="171"/>
      <c r="R86" s="171"/>
      <c r="S86" s="171"/>
      <c r="T86" s="23"/>
      <c r="U86" s="171"/>
      <c r="V86" s="171"/>
    </row>
    <row r="87" spans="1:22" x14ac:dyDescent="0.25">
      <c r="A87" s="142" t="s">
        <v>15</v>
      </c>
      <c r="B87" s="28">
        <f>66+4</f>
        <v>70</v>
      </c>
      <c r="C87" s="54">
        <f>70-0.5-0.5+0.75</f>
        <v>69.75</v>
      </c>
      <c r="D87" s="54">
        <v>74</v>
      </c>
      <c r="E87" s="54">
        <v>76.5</v>
      </c>
      <c r="F87" s="37">
        <v>77</v>
      </c>
      <c r="G87" s="37">
        <v>78</v>
      </c>
      <c r="H87" s="37">
        <v>82</v>
      </c>
      <c r="I87" s="37">
        <v>87</v>
      </c>
      <c r="J87" s="37">
        <v>87</v>
      </c>
      <c r="K87" s="37">
        <v>89</v>
      </c>
      <c r="L87" s="37">
        <v>89</v>
      </c>
      <c r="M87" s="3">
        <v>91</v>
      </c>
      <c r="N87" s="7">
        <f>SUM(B87:M87)/12</f>
        <v>80.854166666666671</v>
      </c>
      <c r="O87" s="172"/>
      <c r="P87" s="171"/>
      <c r="Q87" s="171"/>
      <c r="R87" s="171"/>
      <c r="S87" s="171"/>
      <c r="T87" s="23"/>
      <c r="U87" s="171"/>
      <c r="V87" s="171"/>
    </row>
    <row r="88" spans="1:22" x14ac:dyDescent="0.25">
      <c r="A88" s="142" t="s">
        <v>16</v>
      </c>
      <c r="B88" s="29">
        <f>1-1</f>
        <v>0</v>
      </c>
      <c r="C88" s="29"/>
      <c r="D88" s="29"/>
      <c r="E88" s="29"/>
      <c r="F88" s="39"/>
      <c r="G88" s="39"/>
      <c r="H88" s="39"/>
      <c r="I88" s="39"/>
      <c r="J88" s="39"/>
      <c r="K88" s="39"/>
      <c r="L88" s="39"/>
      <c r="M88" s="8"/>
      <c r="N88" s="9">
        <f>SUM(B88:M88)/12</f>
        <v>0</v>
      </c>
      <c r="O88" s="172"/>
      <c r="P88" s="171"/>
      <c r="Q88" s="171"/>
      <c r="R88" s="171"/>
      <c r="S88" s="171"/>
      <c r="T88" s="23"/>
      <c r="U88" s="171"/>
      <c r="V88" s="171"/>
    </row>
    <row r="89" spans="1:22" x14ac:dyDescent="0.25">
      <c r="A89" s="142" t="s">
        <v>17</v>
      </c>
      <c r="B89" s="30"/>
      <c r="C89" s="30">
        <v>0.5</v>
      </c>
      <c r="D89" s="30"/>
      <c r="E89" s="30"/>
      <c r="F89" s="40"/>
      <c r="G89" s="40"/>
      <c r="H89" s="40"/>
      <c r="I89" s="40"/>
      <c r="J89" s="40"/>
      <c r="K89" s="40"/>
      <c r="L89" s="40"/>
      <c r="M89" s="10"/>
      <c r="N89" s="9">
        <f>SUM(B89:M89)/12</f>
        <v>4.1666666666666664E-2</v>
      </c>
      <c r="O89" s="172"/>
      <c r="P89" s="171"/>
      <c r="Q89" s="171"/>
      <c r="R89" s="171"/>
      <c r="S89" s="171"/>
      <c r="T89" s="23"/>
      <c r="U89" s="171"/>
      <c r="V89" s="171"/>
    </row>
    <row r="90" spans="1:22" x14ac:dyDescent="0.25">
      <c r="A90" s="142"/>
      <c r="B90" s="10"/>
      <c r="C90" s="10"/>
      <c r="D90" s="10"/>
      <c r="E90" s="10"/>
      <c r="F90" s="10"/>
      <c r="G90" s="10"/>
      <c r="H90" s="8"/>
      <c r="I90" s="10"/>
      <c r="J90" s="10"/>
      <c r="K90" s="10"/>
      <c r="L90" s="10"/>
      <c r="M90" s="10"/>
      <c r="N90" s="11"/>
      <c r="O90" s="172"/>
      <c r="P90" s="171"/>
      <c r="Q90" s="171"/>
      <c r="R90" s="171"/>
      <c r="S90" s="171"/>
      <c r="T90" s="23"/>
      <c r="U90" s="171"/>
      <c r="V90" s="171"/>
    </row>
    <row r="91" spans="1:22" x14ac:dyDescent="0.25">
      <c r="A91" s="140" t="s">
        <v>24</v>
      </c>
      <c r="B91" s="3">
        <f>B87+(B89*1.5)+(B88*0.8)</f>
        <v>70</v>
      </c>
      <c r="C91" s="3">
        <f>C87+(C89*1.5)+(C88*0.8)</f>
        <v>70.5</v>
      </c>
      <c r="D91" s="3">
        <f>D87+(D89*1.5)+(D88*0.8)</f>
        <v>74</v>
      </c>
      <c r="E91" s="3">
        <f>E87+(E89*1.5)+(E88*0.8)</f>
        <v>76.5</v>
      </c>
      <c r="F91" s="3">
        <f>F87+(F89*1.5)+(F88*0.8)</f>
        <v>77</v>
      </c>
      <c r="G91" s="3">
        <f t="shared" ref="G91:M91" si="5">G87+(G89*1.5)+(G88*0.8)</f>
        <v>78</v>
      </c>
      <c r="H91" s="3">
        <f t="shared" si="5"/>
        <v>82</v>
      </c>
      <c r="I91" s="3">
        <f t="shared" si="5"/>
        <v>87</v>
      </c>
      <c r="J91" s="3">
        <f t="shared" si="5"/>
        <v>87</v>
      </c>
      <c r="K91" s="3">
        <f t="shared" si="5"/>
        <v>89</v>
      </c>
      <c r="L91" s="3">
        <f t="shared" si="5"/>
        <v>89</v>
      </c>
      <c r="M91" s="3">
        <f t="shared" si="5"/>
        <v>91</v>
      </c>
      <c r="N91" s="9">
        <f>SUM(B91:M91)/12</f>
        <v>80.916666666666671</v>
      </c>
      <c r="O91" s="172"/>
      <c r="P91" s="176"/>
      <c r="Q91" s="171"/>
      <c r="R91" s="171"/>
      <c r="S91" s="171"/>
      <c r="T91" s="23"/>
      <c r="U91" s="171"/>
      <c r="V91" s="172"/>
    </row>
    <row r="92" spans="1:22" x14ac:dyDescent="0.25">
      <c r="A92" s="140"/>
      <c r="B92" s="193">
        <v>4</v>
      </c>
      <c r="C92" s="194">
        <v>2</v>
      </c>
      <c r="D92" s="194">
        <v>5</v>
      </c>
      <c r="E92" s="194">
        <v>2</v>
      </c>
      <c r="F92" s="195">
        <v>0</v>
      </c>
      <c r="G92" s="195">
        <v>1</v>
      </c>
      <c r="H92" s="195">
        <v>4</v>
      </c>
      <c r="I92" s="195">
        <v>5</v>
      </c>
      <c r="J92" s="195">
        <v>0</v>
      </c>
      <c r="K92" s="195">
        <v>2</v>
      </c>
      <c r="L92" s="195">
        <v>0</v>
      </c>
      <c r="M92" s="195">
        <v>2</v>
      </c>
      <c r="N92" s="59">
        <f>SUM(B92:M92)</f>
        <v>27</v>
      </c>
      <c r="O92" s="172"/>
      <c r="P92" s="172"/>
      <c r="Q92" s="172"/>
      <c r="R92" s="172"/>
      <c r="S92" s="172"/>
      <c r="T92" s="23"/>
      <c r="U92" s="171"/>
      <c r="V92" s="172"/>
    </row>
    <row r="93" spans="1:22" x14ac:dyDescent="0.25">
      <c r="A93" s="140"/>
      <c r="B93" s="193"/>
      <c r="C93" s="196" t="s">
        <v>34</v>
      </c>
      <c r="D93" s="197" t="s">
        <v>27</v>
      </c>
      <c r="E93" s="194"/>
      <c r="F93" s="195"/>
      <c r="G93" s="195"/>
      <c r="H93" s="194" t="s">
        <v>36</v>
      </c>
      <c r="I93" s="195"/>
      <c r="J93" s="195"/>
      <c r="K93" s="194" t="s">
        <v>37</v>
      </c>
      <c r="L93" s="195"/>
      <c r="M93" s="194" t="s">
        <v>36</v>
      </c>
      <c r="N93" s="9"/>
      <c r="O93" s="172"/>
      <c r="P93" s="172"/>
      <c r="Q93" s="172"/>
      <c r="R93" s="172"/>
      <c r="S93" s="172"/>
      <c r="T93" s="23"/>
      <c r="U93" s="23"/>
    </row>
    <row r="94" spans="1:22" x14ac:dyDescent="0.25">
      <c r="A94" s="31"/>
      <c r="B94" s="177"/>
      <c r="C94" s="178" t="s">
        <v>35</v>
      </c>
      <c r="D94" s="51"/>
      <c r="E94" s="49"/>
      <c r="F94" s="172"/>
      <c r="G94" s="192">
        <v>0</v>
      </c>
      <c r="H94" s="53" t="s">
        <v>31</v>
      </c>
      <c r="I94" s="53">
        <v>0</v>
      </c>
      <c r="J94" s="53">
        <v>0</v>
      </c>
      <c r="K94" s="53">
        <v>1</v>
      </c>
      <c r="L94" s="53">
        <v>3</v>
      </c>
      <c r="M94" s="53">
        <v>0</v>
      </c>
      <c r="N94" s="198">
        <f>SUM(G94:M94)</f>
        <v>4</v>
      </c>
      <c r="O94" s="172"/>
      <c r="P94" s="171"/>
      <c r="Q94" s="171"/>
      <c r="R94" s="171"/>
      <c r="S94" s="171"/>
      <c r="T94" s="23"/>
      <c r="U94" s="23"/>
    </row>
    <row r="95" spans="1:22" x14ac:dyDescent="0.25">
      <c r="A95" s="31"/>
      <c r="B95" s="177"/>
      <c r="C95" s="49" t="s">
        <v>26</v>
      </c>
      <c r="D95" s="41"/>
      <c r="E95" s="33"/>
      <c r="F95" s="33"/>
      <c r="G95" s="172"/>
      <c r="H95" s="45"/>
      <c r="I95" s="45"/>
      <c r="J95" s="45"/>
      <c r="K95" s="45"/>
      <c r="L95" s="45"/>
      <c r="M95" s="172" t="s">
        <v>29</v>
      </c>
      <c r="N95" s="172"/>
      <c r="O95" s="172"/>
      <c r="P95" s="172"/>
      <c r="Q95" s="171"/>
      <c r="R95" s="171"/>
      <c r="S95" s="171"/>
      <c r="T95" s="23"/>
      <c r="U95" s="23"/>
    </row>
    <row r="96" spans="1:22" x14ac:dyDescent="0.25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9" t="s">
        <v>30</v>
      </c>
      <c r="N96" s="179"/>
      <c r="O96" s="179"/>
      <c r="P96" s="179"/>
      <c r="Q96" s="172"/>
      <c r="R96" s="172"/>
      <c r="S96" s="172"/>
    </row>
  </sheetData>
  <pageMargins left="0" right="0" top="0.19685039370078741" bottom="0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2"/>
  <sheetViews>
    <sheetView workbookViewId="0">
      <selection activeCell="O35" sqref="O35"/>
    </sheetView>
  </sheetViews>
  <sheetFormatPr defaultRowHeight="15" x14ac:dyDescent="0.25"/>
  <cols>
    <col min="13" max="13" width="10.140625" customWidth="1"/>
  </cols>
  <sheetData>
    <row r="2" spans="1:15" x14ac:dyDescent="0.25">
      <c r="A2" s="255" t="s">
        <v>374</v>
      </c>
      <c r="B2" s="83"/>
      <c r="C2" s="83"/>
      <c r="D2" s="8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x14ac:dyDescent="0.25">
      <c r="A3" s="69"/>
      <c r="B3" s="70" t="s">
        <v>2</v>
      </c>
      <c r="C3" s="70" t="s">
        <v>3</v>
      </c>
      <c r="D3" s="70" t="s">
        <v>4</v>
      </c>
      <c r="E3" s="70" t="s">
        <v>5</v>
      </c>
      <c r="F3" s="70" t="s">
        <v>6</v>
      </c>
      <c r="G3" s="70" t="s">
        <v>7</v>
      </c>
      <c r="H3" s="70" t="s">
        <v>8</v>
      </c>
      <c r="I3" s="70" t="s">
        <v>9</v>
      </c>
      <c r="J3" s="70" t="s">
        <v>10</v>
      </c>
      <c r="K3" s="70" t="s">
        <v>11</v>
      </c>
      <c r="L3" s="70" t="s">
        <v>12</v>
      </c>
      <c r="M3" s="70" t="s">
        <v>13</v>
      </c>
      <c r="N3" s="71" t="s">
        <v>14</v>
      </c>
      <c r="O3" s="62"/>
    </row>
    <row r="4" spans="1:15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62"/>
    </row>
    <row r="5" spans="1:15" x14ac:dyDescent="0.25">
      <c r="A5" s="71" t="s">
        <v>15</v>
      </c>
      <c r="B5" s="276">
        <f>37</f>
        <v>37</v>
      </c>
      <c r="C5" s="277">
        <f>37+1+2-1</f>
        <v>39</v>
      </c>
      <c r="D5" s="277">
        <f>39+1-1</f>
        <v>39</v>
      </c>
      <c r="E5" s="277">
        <f>39-1</f>
        <v>38</v>
      </c>
      <c r="F5" s="277">
        <f>38-1</f>
        <v>37</v>
      </c>
      <c r="G5" s="278">
        <f>37-1+2</f>
        <v>38</v>
      </c>
      <c r="H5" s="277">
        <f>38-1+2</f>
        <v>39</v>
      </c>
      <c r="I5" s="37">
        <f>39-4</f>
        <v>35</v>
      </c>
      <c r="J5" s="37">
        <f>35-1</f>
        <v>34</v>
      </c>
      <c r="K5" s="37">
        <f>34-1</f>
        <v>33</v>
      </c>
      <c r="L5" s="37">
        <f>33+2</f>
        <v>35</v>
      </c>
      <c r="M5" s="3">
        <v>35</v>
      </c>
      <c r="N5" s="7">
        <f>SUM(B5:M5)/12</f>
        <v>36.583333333333336</v>
      </c>
      <c r="O5" s="62"/>
    </row>
    <row r="6" spans="1:15" x14ac:dyDescent="0.25">
      <c r="A6" s="71" t="s">
        <v>16</v>
      </c>
      <c r="B6" s="279"/>
      <c r="C6" s="279"/>
      <c r="D6" s="279"/>
      <c r="E6" s="279"/>
      <c r="F6" s="279"/>
      <c r="G6" s="279"/>
      <c r="H6" s="279"/>
      <c r="I6" s="39"/>
      <c r="J6" s="39"/>
      <c r="K6" s="39"/>
      <c r="L6" s="39"/>
      <c r="M6" s="8"/>
      <c r="N6" s="9">
        <f>SUM(B6:M6)/12</f>
        <v>0</v>
      </c>
      <c r="O6" s="62"/>
    </row>
    <row r="7" spans="1:15" x14ac:dyDescent="0.25">
      <c r="A7" s="71" t="s">
        <v>17</v>
      </c>
      <c r="B7" s="280">
        <f>0.5+0.5</f>
        <v>1</v>
      </c>
      <c r="C7" s="280">
        <v>1</v>
      </c>
      <c r="D7" s="280"/>
      <c r="E7" s="280"/>
      <c r="F7" s="280"/>
      <c r="G7" s="280"/>
      <c r="H7" s="280"/>
      <c r="I7" s="40"/>
      <c r="J7" s="40"/>
      <c r="K7" s="40"/>
      <c r="L7" s="40"/>
      <c r="M7" s="10"/>
      <c r="N7" s="9">
        <f>SUM(B7:M7)/12</f>
        <v>0.16666666666666666</v>
      </c>
      <c r="O7" s="62"/>
    </row>
    <row r="8" spans="1:15" x14ac:dyDescent="0.25">
      <c r="A8" s="71"/>
      <c r="B8" s="10"/>
      <c r="C8" s="10"/>
      <c r="D8" s="40"/>
      <c r="E8" s="40"/>
      <c r="F8" s="40"/>
      <c r="G8" s="40"/>
      <c r="H8" s="39"/>
      <c r="I8" s="40"/>
      <c r="J8" s="10"/>
      <c r="K8" s="10"/>
      <c r="L8" s="10"/>
      <c r="M8" s="10"/>
      <c r="N8" s="11"/>
      <c r="O8" s="63"/>
    </row>
    <row r="9" spans="1:15" x14ac:dyDescent="0.25">
      <c r="A9" s="69" t="s">
        <v>18</v>
      </c>
      <c r="B9" s="3">
        <f>B5+(B7*1.5)+(B6*0.8)</f>
        <v>38.5</v>
      </c>
      <c r="C9" s="3">
        <f>C5+(C7*1.5)+(C6*0.8)</f>
        <v>40.5</v>
      </c>
      <c r="D9" s="3">
        <f>D5+(D7*1.5)+(D6*0.8)</f>
        <v>39</v>
      </c>
      <c r="E9" s="3">
        <f>E5+(E7*1.5)+(E6*0.8)</f>
        <v>38</v>
      </c>
      <c r="F9" s="3">
        <f>F5+(F7*1.5)+(F6*0.8)</f>
        <v>37</v>
      </c>
      <c r="G9" s="3">
        <f t="shared" ref="G9:M9" si="0">G5+(G7*1.5)+(G6*0.8)</f>
        <v>38</v>
      </c>
      <c r="H9" s="3">
        <f t="shared" si="0"/>
        <v>39</v>
      </c>
      <c r="I9" s="3">
        <f t="shared" si="0"/>
        <v>35</v>
      </c>
      <c r="J9" s="3">
        <f t="shared" si="0"/>
        <v>34</v>
      </c>
      <c r="K9" s="3">
        <f t="shared" si="0"/>
        <v>33</v>
      </c>
      <c r="L9" s="3">
        <f t="shared" si="0"/>
        <v>35</v>
      </c>
      <c r="M9" s="3">
        <f t="shared" si="0"/>
        <v>35</v>
      </c>
      <c r="N9" s="9">
        <f>SUM(B9:M9)/12</f>
        <v>36.833333333333336</v>
      </c>
      <c r="O9" s="62"/>
    </row>
    <row r="10" spans="1:15" x14ac:dyDescent="0.25">
      <c r="A10" s="67" t="s">
        <v>19</v>
      </c>
      <c r="B10" s="65">
        <v>3</v>
      </c>
      <c r="C10" s="64">
        <v>2</v>
      </c>
      <c r="D10" s="64">
        <v>0</v>
      </c>
      <c r="E10" s="64"/>
      <c r="F10" s="64"/>
      <c r="G10" s="64">
        <v>2</v>
      </c>
      <c r="H10" s="64">
        <v>2</v>
      </c>
      <c r="I10" s="64"/>
      <c r="J10" s="64"/>
      <c r="K10" s="64"/>
      <c r="L10" s="64">
        <v>2</v>
      </c>
      <c r="M10" s="64">
        <v>0</v>
      </c>
      <c r="N10" s="68">
        <v>7</v>
      </c>
      <c r="O10" s="62"/>
    </row>
    <row r="11" spans="1:15" x14ac:dyDescent="0.25">
      <c r="C11" s="50" t="s">
        <v>64</v>
      </c>
      <c r="D11" s="50" t="s">
        <v>136</v>
      </c>
      <c r="E11" s="50" t="s">
        <v>59</v>
      </c>
      <c r="F11" s="50" t="s">
        <v>101</v>
      </c>
      <c r="G11" s="50" t="s">
        <v>377</v>
      </c>
      <c r="H11" s="50" t="s">
        <v>137</v>
      </c>
      <c r="I11" s="50" t="s">
        <v>138</v>
      </c>
      <c r="J11" s="50" t="s">
        <v>53</v>
      </c>
      <c r="K11" s="50" t="s">
        <v>77</v>
      </c>
      <c r="L11" s="50"/>
      <c r="M11" s="50"/>
    </row>
    <row r="12" spans="1:15" x14ac:dyDescent="0.25">
      <c r="B12" s="50" t="s">
        <v>416</v>
      </c>
      <c r="I12" s="50"/>
    </row>
    <row r="13" spans="1:15" x14ac:dyDescent="0.25">
      <c r="A13" s="221" t="s">
        <v>260</v>
      </c>
      <c r="B13" s="221"/>
      <c r="C13" s="221"/>
      <c r="D13" s="221"/>
    </row>
    <row r="14" spans="1:15" s="1" customFormat="1" x14ac:dyDescent="0.25">
      <c r="A14" s="2"/>
      <c r="B14" s="3" t="s">
        <v>2</v>
      </c>
      <c r="C14" s="3" t="s">
        <v>3</v>
      </c>
      <c r="D14" s="3" t="s">
        <v>4</v>
      </c>
      <c r="E14" s="3" t="s">
        <v>5</v>
      </c>
      <c r="F14" s="3" t="s">
        <v>6</v>
      </c>
      <c r="G14" s="3" t="s">
        <v>7</v>
      </c>
      <c r="H14" s="3" t="s">
        <v>8</v>
      </c>
      <c r="I14" s="3" t="s">
        <v>9</v>
      </c>
      <c r="J14" s="3" t="s">
        <v>10</v>
      </c>
      <c r="K14" s="3" t="s">
        <v>11</v>
      </c>
      <c r="L14" s="3" t="s">
        <v>12</v>
      </c>
      <c r="M14" s="3" t="s">
        <v>13</v>
      </c>
      <c r="N14" s="4" t="s">
        <v>14</v>
      </c>
    </row>
    <row r="15" spans="1:15" s="1" customForma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5" s="1" customFormat="1" x14ac:dyDescent="0.25">
      <c r="A16" s="4" t="s">
        <v>15</v>
      </c>
      <c r="B16" s="5">
        <f>37-2+1</f>
        <v>36</v>
      </c>
      <c r="C16" s="3">
        <f>36+1+1-1</f>
        <v>37</v>
      </c>
      <c r="D16" s="3">
        <f>37+1-1</f>
        <v>37</v>
      </c>
      <c r="E16" s="3">
        <f>37-1+1</f>
        <v>37</v>
      </c>
      <c r="F16" s="3">
        <f>37+1-1</f>
        <v>37</v>
      </c>
      <c r="G16" s="6">
        <f>37+2</f>
        <v>39</v>
      </c>
      <c r="H16" s="3">
        <f>39+2-1</f>
        <v>40</v>
      </c>
      <c r="I16" s="3">
        <f>40+1-4</f>
        <v>37</v>
      </c>
      <c r="J16" s="3">
        <f>37-1</f>
        <v>36</v>
      </c>
      <c r="K16" s="3">
        <f>36-1</f>
        <v>35</v>
      </c>
      <c r="L16" s="3">
        <v>37</v>
      </c>
      <c r="M16" s="3">
        <v>37</v>
      </c>
      <c r="N16" s="7">
        <f>SUM(B16:M16)/12</f>
        <v>37.083333333333336</v>
      </c>
    </row>
    <row r="17" spans="1:15" s="1" customFormat="1" x14ac:dyDescent="0.25">
      <c r="A17" s="4" t="s">
        <v>16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>
        <f>SUM(B17:M17)/12</f>
        <v>0</v>
      </c>
    </row>
    <row r="18" spans="1:15" s="1" customFormat="1" x14ac:dyDescent="0.25">
      <c r="A18" s="4" t="s">
        <v>17</v>
      </c>
      <c r="B18" s="10">
        <f>0.75+0.75</f>
        <v>1.5</v>
      </c>
      <c r="C18" s="10">
        <v>1</v>
      </c>
      <c r="D18" s="10">
        <v>0</v>
      </c>
      <c r="E18" s="10"/>
      <c r="F18" s="10"/>
      <c r="G18" s="10"/>
      <c r="H18" s="10"/>
      <c r="I18" s="10"/>
      <c r="J18" s="10"/>
      <c r="K18" s="10"/>
      <c r="L18" s="10"/>
      <c r="M18" s="10"/>
      <c r="N18" s="9">
        <f>SUM(B18:M18)/12</f>
        <v>0.20833333333333334</v>
      </c>
    </row>
    <row r="19" spans="1:15" s="1" customFormat="1" x14ac:dyDescent="0.25">
      <c r="A19" s="4"/>
      <c r="B19" s="10"/>
      <c r="C19" s="10"/>
      <c r="D19" s="10"/>
      <c r="E19" s="10"/>
      <c r="F19" s="10"/>
      <c r="G19" s="10"/>
      <c r="H19" s="8"/>
      <c r="I19" s="10"/>
      <c r="J19" s="10"/>
      <c r="K19" s="10"/>
      <c r="L19" s="10"/>
      <c r="M19" s="10"/>
      <c r="N19" s="11"/>
      <c r="O19" s="12"/>
    </row>
    <row r="20" spans="1:15" s="1" customFormat="1" x14ac:dyDescent="0.25">
      <c r="A20" s="2" t="s">
        <v>51</v>
      </c>
      <c r="B20" s="3">
        <f>B16+(B18*1.5)+(B17*0.8)</f>
        <v>38.25</v>
      </c>
      <c r="C20" s="3">
        <f>C16+(C18*1.5)+(C17*0.8)</f>
        <v>38.5</v>
      </c>
      <c r="D20" s="3">
        <f>D16+(D18*1.5)+(D17*0.8)</f>
        <v>37</v>
      </c>
      <c r="E20" s="3">
        <f>E16+(E18*1.5)+(E17*0.8)</f>
        <v>37</v>
      </c>
      <c r="F20" s="3">
        <f>F16+(F18*1.5)+(F17*0.8)</f>
        <v>37</v>
      </c>
      <c r="G20" s="3">
        <f t="shared" ref="G20:M20" si="1">G16+(G18*1.5)+(G17*0.8)</f>
        <v>39</v>
      </c>
      <c r="H20" s="3">
        <f t="shared" si="1"/>
        <v>40</v>
      </c>
      <c r="I20" s="3">
        <f t="shared" si="1"/>
        <v>37</v>
      </c>
      <c r="J20" s="3">
        <f t="shared" si="1"/>
        <v>36</v>
      </c>
      <c r="K20" s="3">
        <f t="shared" si="1"/>
        <v>35</v>
      </c>
      <c r="L20" s="3">
        <f t="shared" si="1"/>
        <v>37</v>
      </c>
      <c r="M20" s="3">
        <f t="shared" si="1"/>
        <v>37</v>
      </c>
      <c r="N20" s="9">
        <f>SUM(B20:M20)/12</f>
        <v>37.395833333333336</v>
      </c>
    </row>
    <row r="21" spans="1:15" s="1" customFormat="1" x14ac:dyDescent="0.25">
      <c r="A21" s="13" t="s">
        <v>19</v>
      </c>
      <c r="B21" s="14">
        <v>3</v>
      </c>
      <c r="C21" s="15">
        <v>2</v>
      </c>
      <c r="D21" s="15">
        <v>0</v>
      </c>
      <c r="E21" s="15">
        <v>1</v>
      </c>
      <c r="F21" s="15">
        <v>1</v>
      </c>
      <c r="G21" s="15">
        <v>2</v>
      </c>
      <c r="H21" s="15">
        <v>2</v>
      </c>
      <c r="I21" s="15">
        <v>1</v>
      </c>
      <c r="J21" s="15">
        <v>0</v>
      </c>
      <c r="K21" s="15">
        <v>0</v>
      </c>
      <c r="L21" s="15">
        <v>2</v>
      </c>
      <c r="M21" s="15">
        <v>0</v>
      </c>
      <c r="N21" s="16">
        <f>SUM(B21:M21)</f>
        <v>14</v>
      </c>
      <c r="O21" s="15"/>
    </row>
    <row r="22" spans="1:15" x14ac:dyDescent="0.25">
      <c r="B22" s="50" t="s">
        <v>135</v>
      </c>
      <c r="C22" s="50" t="s">
        <v>64</v>
      </c>
      <c r="D22" s="50" t="s">
        <v>136</v>
      </c>
      <c r="E22" s="50" t="s">
        <v>59</v>
      </c>
      <c r="F22" s="50" t="s">
        <v>101</v>
      </c>
      <c r="G22" s="50"/>
      <c r="H22" s="50" t="s">
        <v>137</v>
      </c>
      <c r="I22" s="50" t="s">
        <v>138</v>
      </c>
      <c r="J22" s="50" t="s">
        <v>53</v>
      </c>
      <c r="K22" s="50" t="s">
        <v>77</v>
      </c>
      <c r="L22" s="50"/>
      <c r="M22" s="50"/>
    </row>
    <row r="23" spans="1:15" x14ac:dyDescent="0.25">
      <c r="B23" s="84" t="s">
        <v>293</v>
      </c>
    </row>
    <row r="24" spans="1:15" x14ac:dyDescent="0.25">
      <c r="B24" s="84"/>
    </row>
    <row r="25" spans="1:15" x14ac:dyDescent="0.25">
      <c r="A25" s="251" t="s">
        <v>415</v>
      </c>
      <c r="B25" s="251"/>
      <c r="C25" s="251"/>
      <c r="D25" s="251"/>
    </row>
    <row r="26" spans="1:15" s="1" customFormat="1" x14ac:dyDescent="0.25">
      <c r="A26" s="2"/>
      <c r="B26" s="3" t="s">
        <v>2</v>
      </c>
      <c r="C26" s="3" t="s">
        <v>3</v>
      </c>
      <c r="D26" s="3" t="s">
        <v>4</v>
      </c>
      <c r="E26" s="3" t="s">
        <v>5</v>
      </c>
      <c r="F26" s="3" t="s">
        <v>6</v>
      </c>
      <c r="G26" s="3" t="s">
        <v>7</v>
      </c>
      <c r="H26" s="3" t="s">
        <v>8</v>
      </c>
      <c r="I26" s="3" t="s">
        <v>9</v>
      </c>
      <c r="J26" s="3" t="s">
        <v>10</v>
      </c>
      <c r="K26" s="3" t="s">
        <v>11</v>
      </c>
      <c r="L26" s="3" t="s">
        <v>12</v>
      </c>
      <c r="M26" s="3" t="s">
        <v>13</v>
      </c>
      <c r="N26" s="4" t="s">
        <v>14</v>
      </c>
    </row>
    <row r="27" spans="1:15" s="1" customForma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5" s="1" customFormat="1" x14ac:dyDescent="0.25">
      <c r="A28" s="4" t="s">
        <v>15</v>
      </c>
      <c r="B28" s="5">
        <f>35-1</f>
        <v>34</v>
      </c>
      <c r="C28" s="3">
        <f>34-2</f>
        <v>32</v>
      </c>
      <c r="D28" s="3">
        <f>32-2+1</f>
        <v>31</v>
      </c>
      <c r="E28" s="3">
        <f>31-1</f>
        <v>30</v>
      </c>
      <c r="F28" s="3">
        <f>30+1-2</f>
        <v>29</v>
      </c>
      <c r="G28" s="6">
        <f>29-3</f>
        <v>26</v>
      </c>
      <c r="H28" s="3">
        <f>26-2+1</f>
        <v>25</v>
      </c>
      <c r="I28" s="3">
        <v>25</v>
      </c>
      <c r="J28" s="3">
        <v>25</v>
      </c>
      <c r="K28" s="3">
        <v>25</v>
      </c>
      <c r="L28" s="3">
        <f>25-3</f>
        <v>22</v>
      </c>
      <c r="M28" s="3">
        <f>22+2</f>
        <v>24</v>
      </c>
      <c r="N28" s="7">
        <f>SUM(B28:M28)/12</f>
        <v>27.333333333333332</v>
      </c>
    </row>
    <row r="29" spans="1:15" s="1" customFormat="1" x14ac:dyDescent="0.25">
      <c r="A29" s="4" t="s">
        <v>16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>
        <f>SUM(B29:M29)/12</f>
        <v>0</v>
      </c>
    </row>
    <row r="30" spans="1:15" s="1" customFormat="1" x14ac:dyDescent="0.25">
      <c r="A30" s="4" t="s">
        <v>17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9">
        <f>SUM(B30:M30)/12</f>
        <v>0</v>
      </c>
    </row>
    <row r="31" spans="1:15" s="1" customFormat="1" x14ac:dyDescent="0.25">
      <c r="A31" s="4"/>
      <c r="B31" s="10"/>
      <c r="C31" s="10"/>
      <c r="D31" s="10"/>
      <c r="E31" s="10"/>
      <c r="F31" s="10"/>
      <c r="G31" s="10"/>
      <c r="H31" s="8"/>
      <c r="I31" s="10"/>
      <c r="J31" s="10"/>
      <c r="K31" s="10"/>
      <c r="L31" s="10"/>
      <c r="M31" s="10"/>
      <c r="N31" s="11"/>
      <c r="O31" s="12"/>
    </row>
    <row r="32" spans="1:15" s="1" customFormat="1" x14ac:dyDescent="0.25">
      <c r="A32" s="2" t="s">
        <v>269</v>
      </c>
      <c r="B32" s="3">
        <f>B28+(B30*1.5)+(B29*0.8)</f>
        <v>34</v>
      </c>
      <c r="C32" s="3">
        <f>C28+(C30*1.5)+(C29*0.8)</f>
        <v>32</v>
      </c>
      <c r="D32" s="3">
        <f>D28+(D30*1.5)+(D29*0.8)</f>
        <v>31</v>
      </c>
      <c r="E32" s="3">
        <f>E28+(E30*1.5)+(E29*0.8)</f>
        <v>30</v>
      </c>
      <c r="F32" s="3">
        <f>F28+(F30*1.5)+(F29*0.8)</f>
        <v>29</v>
      </c>
      <c r="G32" s="3">
        <f t="shared" ref="G32:M32" si="2">G28+(G30*1.5)+(G29*0.8)</f>
        <v>26</v>
      </c>
      <c r="H32" s="3">
        <f t="shared" si="2"/>
        <v>25</v>
      </c>
      <c r="I32" s="3">
        <f t="shared" si="2"/>
        <v>25</v>
      </c>
      <c r="J32" s="3">
        <f t="shared" si="2"/>
        <v>25</v>
      </c>
      <c r="K32" s="3">
        <f t="shared" si="2"/>
        <v>25</v>
      </c>
      <c r="L32" s="3">
        <f t="shared" si="2"/>
        <v>22</v>
      </c>
      <c r="M32" s="3">
        <f t="shared" si="2"/>
        <v>24</v>
      </c>
      <c r="N32" s="9">
        <f>SUM(B32:M32)/12</f>
        <v>27.333333333333332</v>
      </c>
    </row>
    <row r="33" spans="1:15" s="1" customFormat="1" x14ac:dyDescent="0.25">
      <c r="A33" s="13" t="s">
        <v>19</v>
      </c>
      <c r="B33" s="14"/>
      <c r="C33" s="15"/>
      <c r="D33" s="15">
        <v>1</v>
      </c>
      <c r="E33" s="15"/>
      <c r="F33" s="15">
        <v>1</v>
      </c>
      <c r="G33" s="15">
        <v>0</v>
      </c>
      <c r="H33" s="15">
        <v>1</v>
      </c>
      <c r="I33" s="15">
        <v>0</v>
      </c>
      <c r="J33" s="15"/>
      <c r="K33" s="15"/>
      <c r="L33" s="15"/>
      <c r="M33" s="15">
        <v>2</v>
      </c>
      <c r="N33" s="16">
        <f>SUM(B33:M33)</f>
        <v>5</v>
      </c>
      <c r="O33" s="15"/>
    </row>
    <row r="34" spans="1:15" x14ac:dyDescent="0.25">
      <c r="B34" s="50" t="s">
        <v>22</v>
      </c>
      <c r="C34" s="50" t="s">
        <v>56</v>
      </c>
      <c r="D34" s="50" t="s">
        <v>217</v>
      </c>
      <c r="E34" s="50" t="s">
        <v>59</v>
      </c>
      <c r="F34" s="50" t="s">
        <v>175</v>
      </c>
      <c r="G34" s="50" t="s">
        <v>215</v>
      </c>
      <c r="H34" s="50" t="s">
        <v>67</v>
      </c>
      <c r="I34" s="50"/>
      <c r="J34" s="50"/>
      <c r="K34" s="50"/>
      <c r="L34" s="50" t="s">
        <v>78</v>
      </c>
      <c r="M34" s="50"/>
    </row>
    <row r="35" spans="1:15" x14ac:dyDescent="0.25">
      <c r="B35" s="84"/>
    </row>
    <row r="37" spans="1:15" x14ac:dyDescent="0.25">
      <c r="A37" s="229" t="s">
        <v>239</v>
      </c>
      <c r="B37" s="229"/>
      <c r="C37" s="229"/>
      <c r="D37" s="229"/>
    </row>
    <row r="38" spans="1:15" s="1" customFormat="1" x14ac:dyDescent="0.25">
      <c r="A38" s="2"/>
      <c r="B38" s="3" t="s">
        <v>2</v>
      </c>
      <c r="C38" s="3" t="s">
        <v>3</v>
      </c>
      <c r="D38" s="3" t="s">
        <v>4</v>
      </c>
      <c r="E38" s="3" t="s">
        <v>5</v>
      </c>
      <c r="F38" s="3" t="s">
        <v>6</v>
      </c>
      <c r="G38" s="3" t="s">
        <v>7</v>
      </c>
      <c r="H38" s="3" t="s">
        <v>8</v>
      </c>
      <c r="I38" s="3" t="s">
        <v>9</v>
      </c>
      <c r="J38" s="3" t="s">
        <v>10</v>
      </c>
      <c r="K38" s="3" t="s">
        <v>11</v>
      </c>
      <c r="L38" s="3" t="s">
        <v>12</v>
      </c>
      <c r="M38" s="3" t="s">
        <v>13</v>
      </c>
      <c r="N38" s="4" t="s">
        <v>14</v>
      </c>
    </row>
    <row r="39" spans="1:15" s="1" customForma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5" s="1" customFormat="1" x14ac:dyDescent="0.25">
      <c r="A40" s="4" t="s">
        <v>15</v>
      </c>
      <c r="B40" s="5">
        <f>37+2-2</f>
        <v>37</v>
      </c>
      <c r="C40" s="3">
        <f>37+2-1</f>
        <v>38</v>
      </c>
      <c r="D40" s="3">
        <f>38+1-1</f>
        <v>38</v>
      </c>
      <c r="E40" s="3">
        <f>38+2-1</f>
        <v>39</v>
      </c>
      <c r="F40" s="3">
        <f>39+1-1</f>
        <v>39</v>
      </c>
      <c r="G40" s="6">
        <f>39+2</f>
        <v>41</v>
      </c>
      <c r="H40" s="3">
        <f>41+2-1</f>
        <v>42</v>
      </c>
      <c r="I40" s="3">
        <f>42+1-4</f>
        <v>39</v>
      </c>
      <c r="J40" s="3">
        <f>39-1</f>
        <v>38</v>
      </c>
      <c r="K40" s="3">
        <f>38-1</f>
        <v>37</v>
      </c>
      <c r="L40" s="3">
        <f>37+2</f>
        <v>39</v>
      </c>
      <c r="M40" s="3">
        <v>39</v>
      </c>
      <c r="N40" s="7">
        <f>SUM(B40:M40)/12</f>
        <v>38.833333333333336</v>
      </c>
    </row>
    <row r="41" spans="1:15" s="1" customFormat="1" x14ac:dyDescent="0.25">
      <c r="A41" s="4" t="s">
        <v>16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>
        <f>SUM(B41:M41)/12</f>
        <v>0</v>
      </c>
    </row>
    <row r="42" spans="1:15" s="1" customFormat="1" x14ac:dyDescent="0.25">
      <c r="A42" s="4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">
        <f>SUM(B42:M42)/12</f>
        <v>0</v>
      </c>
    </row>
    <row r="43" spans="1:15" s="1" customFormat="1" x14ac:dyDescent="0.25">
      <c r="A43" s="4"/>
      <c r="B43" s="10"/>
      <c r="C43" s="10"/>
      <c r="D43" s="10"/>
      <c r="E43" s="10"/>
      <c r="F43" s="10"/>
      <c r="G43" s="10"/>
      <c r="H43" s="8"/>
      <c r="I43" s="10"/>
      <c r="J43" s="10"/>
      <c r="K43" s="10"/>
      <c r="L43" s="10"/>
      <c r="M43" s="10"/>
      <c r="N43" s="11"/>
      <c r="O43" s="12"/>
    </row>
    <row r="44" spans="1:15" s="1" customFormat="1" x14ac:dyDescent="0.25">
      <c r="A44" s="2" t="s">
        <v>51</v>
      </c>
      <c r="B44" s="3">
        <f>B40+(B42*1.5)+(B41*0.8)</f>
        <v>37</v>
      </c>
      <c r="C44" s="3">
        <f>C40+(C42*1.5)+(C41*0.8)</f>
        <v>38</v>
      </c>
      <c r="D44" s="3">
        <f>D40+(D42*1.5)+(D41*0.8)</f>
        <v>38</v>
      </c>
      <c r="E44" s="3">
        <f>E40+(E42*1.5)+(E41*0.8)</f>
        <v>39</v>
      </c>
      <c r="F44" s="3">
        <f>F40+(F42*1.5)+(F41*0.8)</f>
        <v>39</v>
      </c>
      <c r="G44" s="3">
        <f t="shared" ref="G44:M44" si="3">G40+(G42*1.5)+(G41*0.8)</f>
        <v>41</v>
      </c>
      <c r="H44" s="3">
        <f t="shared" si="3"/>
        <v>42</v>
      </c>
      <c r="I44" s="3">
        <f t="shared" si="3"/>
        <v>39</v>
      </c>
      <c r="J44" s="3">
        <f t="shared" si="3"/>
        <v>38</v>
      </c>
      <c r="K44" s="3">
        <f t="shared" si="3"/>
        <v>37</v>
      </c>
      <c r="L44" s="3">
        <f t="shared" si="3"/>
        <v>39</v>
      </c>
      <c r="M44" s="3">
        <f t="shared" si="3"/>
        <v>39</v>
      </c>
      <c r="N44" s="9">
        <f>SUM(B44:M44)/12</f>
        <v>38.833333333333336</v>
      </c>
    </row>
    <row r="45" spans="1:15" s="1" customFormat="1" x14ac:dyDescent="0.25">
      <c r="A45" s="13" t="s">
        <v>19</v>
      </c>
      <c r="B45" s="14">
        <v>2</v>
      </c>
      <c r="C45" s="15">
        <v>2</v>
      </c>
      <c r="D45" s="15">
        <v>1</v>
      </c>
      <c r="E45" s="15">
        <v>2</v>
      </c>
      <c r="F45" s="15">
        <v>1</v>
      </c>
      <c r="G45" s="15">
        <v>2</v>
      </c>
      <c r="H45" s="15">
        <v>2</v>
      </c>
      <c r="I45" s="15">
        <v>1</v>
      </c>
      <c r="J45" s="15">
        <v>0</v>
      </c>
      <c r="K45" s="15">
        <v>0</v>
      </c>
      <c r="L45" s="15">
        <v>2</v>
      </c>
      <c r="M45" s="15">
        <v>0</v>
      </c>
      <c r="N45" s="16">
        <f>SUM(B45:M45)</f>
        <v>15</v>
      </c>
      <c r="O45" s="15"/>
    </row>
    <row r="46" spans="1:15" x14ac:dyDescent="0.25">
      <c r="B46" s="50" t="s">
        <v>135</v>
      </c>
      <c r="C46" s="50" t="s">
        <v>64</v>
      </c>
      <c r="D46" s="50" t="s">
        <v>136</v>
      </c>
      <c r="E46" s="50" t="s">
        <v>59</v>
      </c>
      <c r="F46" s="50" t="s">
        <v>101</v>
      </c>
      <c r="G46" s="50"/>
      <c r="H46" s="50" t="s">
        <v>137</v>
      </c>
      <c r="I46" s="50" t="s">
        <v>138</v>
      </c>
      <c r="J46" s="50" t="s">
        <v>53</v>
      </c>
      <c r="K46" s="50" t="s">
        <v>77</v>
      </c>
      <c r="L46" s="50"/>
      <c r="M46" s="50"/>
    </row>
    <row r="48" spans="1:15" x14ac:dyDescent="0.25">
      <c r="A48" s="189" t="s">
        <v>213</v>
      </c>
      <c r="B48" s="189"/>
      <c r="C48" s="189"/>
      <c r="D48" s="189"/>
    </row>
    <row r="49" spans="1:15" s="1" customFormat="1" x14ac:dyDescent="0.25">
      <c r="A49" s="2"/>
      <c r="B49" s="3" t="s">
        <v>2</v>
      </c>
      <c r="C49" s="3" t="s">
        <v>3</v>
      </c>
      <c r="D49" s="3" t="s">
        <v>4</v>
      </c>
      <c r="E49" s="3" t="s">
        <v>5</v>
      </c>
      <c r="F49" s="3" t="s">
        <v>6</v>
      </c>
      <c r="G49" s="3" t="s">
        <v>7</v>
      </c>
      <c r="H49" s="3" t="s">
        <v>8</v>
      </c>
      <c r="I49" s="3" t="s">
        <v>9</v>
      </c>
      <c r="J49" s="3" t="s">
        <v>10</v>
      </c>
      <c r="K49" s="3" t="s">
        <v>11</v>
      </c>
      <c r="L49" s="3" t="s">
        <v>12</v>
      </c>
      <c r="M49" s="3" t="s">
        <v>13</v>
      </c>
      <c r="N49" s="4" t="s">
        <v>14</v>
      </c>
    </row>
    <row r="50" spans="1:15" s="1" customForma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5" s="1" customFormat="1" x14ac:dyDescent="0.25">
      <c r="A51" s="4" t="s">
        <v>15</v>
      </c>
      <c r="B51" s="5">
        <f>36-2+2</f>
        <v>36</v>
      </c>
      <c r="C51" s="3">
        <f>36-1+2</f>
        <v>37</v>
      </c>
      <c r="D51" s="3">
        <f>37+1-1</f>
        <v>37</v>
      </c>
      <c r="E51" s="3">
        <f>37+2-1</f>
        <v>38</v>
      </c>
      <c r="F51" s="3">
        <f>38-1</f>
        <v>37</v>
      </c>
      <c r="G51" s="3">
        <f>F51+G56</f>
        <v>39</v>
      </c>
      <c r="H51" s="3">
        <f>39+2-1</f>
        <v>40</v>
      </c>
      <c r="I51" s="3">
        <f>40-4+1</f>
        <v>37</v>
      </c>
      <c r="J51" s="3">
        <f>37-1</f>
        <v>36</v>
      </c>
      <c r="K51" s="3">
        <f>36-1</f>
        <v>35</v>
      </c>
      <c r="L51" s="3">
        <f>35+2</f>
        <v>37</v>
      </c>
      <c r="M51" s="3">
        <v>37</v>
      </c>
      <c r="N51" s="7">
        <f>SUM(B51:M51)/12</f>
        <v>37.166666666666664</v>
      </c>
    </row>
    <row r="52" spans="1:15" s="1" customFormat="1" x14ac:dyDescent="0.25">
      <c r="A52" s="4" t="s">
        <v>16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>
        <f>SUM(B52:M52)/12</f>
        <v>0</v>
      </c>
    </row>
    <row r="53" spans="1:15" s="1" customFormat="1" x14ac:dyDescent="0.25">
      <c r="A53" s="4" t="s">
        <v>17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9">
        <f>SUM(B53:M53)/12</f>
        <v>0</v>
      </c>
    </row>
    <row r="54" spans="1:15" s="1" customFormat="1" x14ac:dyDescent="0.25">
      <c r="A54" s="4"/>
      <c r="B54" s="10"/>
      <c r="C54" s="10"/>
      <c r="D54" s="10"/>
      <c r="E54" s="10"/>
      <c r="F54" s="10"/>
      <c r="G54" s="10"/>
      <c r="H54" s="8"/>
      <c r="I54" s="10"/>
      <c r="J54" s="10"/>
      <c r="K54" s="10"/>
      <c r="L54" s="10"/>
      <c r="M54" s="10"/>
      <c r="N54" s="11"/>
      <c r="O54" s="12"/>
    </row>
    <row r="55" spans="1:15" s="1" customFormat="1" x14ac:dyDescent="0.25">
      <c r="A55" s="2" t="s">
        <v>51</v>
      </c>
      <c r="B55" s="3">
        <f>B51+(B53*1.5)+(B52*0.8)</f>
        <v>36</v>
      </c>
      <c r="C55" s="3">
        <f>C51+(C53*1.5)+(C52*0.8)</f>
        <v>37</v>
      </c>
      <c r="D55" s="3">
        <f>D51+(D53*1.5)+(D52*0.8)</f>
        <v>37</v>
      </c>
      <c r="E55" s="3">
        <f>E51+(E53*1.5)+(E52*0.8)</f>
        <v>38</v>
      </c>
      <c r="F55" s="3">
        <f>F51+(F53*1.5)+(F52*0.8)</f>
        <v>37</v>
      </c>
      <c r="G55" s="3">
        <f t="shared" ref="G55:M55" si="4">G51+(G53*1.5)+(G52*0.8)</f>
        <v>39</v>
      </c>
      <c r="H55" s="3">
        <f t="shared" si="4"/>
        <v>40</v>
      </c>
      <c r="I55" s="3">
        <f t="shared" si="4"/>
        <v>37</v>
      </c>
      <c r="J55" s="3">
        <f t="shared" si="4"/>
        <v>36</v>
      </c>
      <c r="K55" s="3">
        <f t="shared" si="4"/>
        <v>35</v>
      </c>
      <c r="L55" s="3">
        <f t="shared" si="4"/>
        <v>37</v>
      </c>
      <c r="M55" s="3">
        <f t="shared" si="4"/>
        <v>37</v>
      </c>
      <c r="N55" s="9">
        <f>SUM(B55:M55)/12</f>
        <v>37.166666666666664</v>
      </c>
    </row>
    <row r="56" spans="1:15" s="1" customFormat="1" x14ac:dyDescent="0.25">
      <c r="A56" s="13" t="s">
        <v>19</v>
      </c>
      <c r="B56" s="14">
        <v>2</v>
      </c>
      <c r="C56" s="15">
        <v>2</v>
      </c>
      <c r="D56" s="15">
        <v>1</v>
      </c>
      <c r="E56" s="15">
        <v>2</v>
      </c>
      <c r="F56" s="15">
        <v>0</v>
      </c>
      <c r="G56" s="15">
        <v>2</v>
      </c>
      <c r="H56" s="15">
        <v>2</v>
      </c>
      <c r="I56" s="15">
        <v>1</v>
      </c>
      <c r="J56" s="15">
        <v>0</v>
      </c>
      <c r="K56" s="15">
        <v>0</v>
      </c>
      <c r="L56" s="15">
        <v>2</v>
      </c>
      <c r="M56" s="15">
        <v>0</v>
      </c>
      <c r="N56" s="16">
        <f>SUM(B56:M56)</f>
        <v>14</v>
      </c>
      <c r="O56" s="15"/>
    </row>
    <row r="57" spans="1:15" x14ac:dyDescent="0.25">
      <c r="B57" s="50" t="s">
        <v>135</v>
      </c>
      <c r="C57" s="50" t="s">
        <v>64</v>
      </c>
      <c r="D57" s="50" t="s">
        <v>136</v>
      </c>
      <c r="E57" s="50" t="s">
        <v>59</v>
      </c>
      <c r="F57" s="50" t="s">
        <v>101</v>
      </c>
      <c r="G57" s="50"/>
      <c r="H57" s="50" t="s">
        <v>137</v>
      </c>
      <c r="I57" s="50" t="s">
        <v>138</v>
      </c>
      <c r="J57" s="50" t="s">
        <v>53</v>
      </c>
      <c r="K57" s="50" t="s">
        <v>77</v>
      </c>
      <c r="L57" s="50"/>
      <c r="M57" s="50"/>
    </row>
    <row r="58" spans="1:15" x14ac:dyDescent="0.2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1:15" x14ac:dyDescent="0.25">
      <c r="A59" s="224" t="s">
        <v>212</v>
      </c>
      <c r="B59" s="224"/>
      <c r="C59" s="224"/>
      <c r="D59" s="224"/>
    </row>
    <row r="60" spans="1:15" s="1" customFormat="1" x14ac:dyDescent="0.25">
      <c r="A60" s="2"/>
      <c r="B60" s="3" t="s">
        <v>2</v>
      </c>
      <c r="C60" s="3" t="s">
        <v>3</v>
      </c>
      <c r="D60" s="3" t="s">
        <v>4</v>
      </c>
      <c r="E60" s="3" t="s">
        <v>5</v>
      </c>
      <c r="F60" s="3" t="s">
        <v>6</v>
      </c>
      <c r="G60" s="3" t="s">
        <v>7</v>
      </c>
      <c r="H60" s="3" t="s">
        <v>8</v>
      </c>
      <c r="I60" s="3" t="s">
        <v>9</v>
      </c>
      <c r="J60" s="3" t="s">
        <v>10</v>
      </c>
      <c r="K60" s="3" t="s">
        <v>11</v>
      </c>
      <c r="L60" s="3" t="s">
        <v>12</v>
      </c>
      <c r="M60" s="3" t="s">
        <v>13</v>
      </c>
      <c r="N60" s="4" t="s">
        <v>14</v>
      </c>
    </row>
    <row r="61" spans="1:15" s="1" customForma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5" s="1" customFormat="1" x14ac:dyDescent="0.25">
      <c r="A62" s="4" t="s">
        <v>15</v>
      </c>
      <c r="B62" s="5">
        <f>37-1</f>
        <v>36</v>
      </c>
      <c r="C62" s="3">
        <f>36-2</f>
        <v>34</v>
      </c>
      <c r="D62" s="3">
        <f>34+1-1</f>
        <v>34</v>
      </c>
      <c r="E62" s="3">
        <f>34-1</f>
        <v>33</v>
      </c>
      <c r="F62" s="3">
        <f>33+1-1</f>
        <v>33</v>
      </c>
      <c r="G62" s="6">
        <f>33-3+1</f>
        <v>31</v>
      </c>
      <c r="H62" s="3">
        <f>31+1-2</f>
        <v>30</v>
      </c>
      <c r="I62" s="3">
        <f>30-1+1</f>
        <v>30</v>
      </c>
      <c r="J62" s="3">
        <v>30</v>
      </c>
      <c r="K62" s="3">
        <v>30</v>
      </c>
      <c r="L62" s="3">
        <f>30-3</f>
        <v>27</v>
      </c>
      <c r="M62" s="3">
        <f>30+2</f>
        <v>32</v>
      </c>
      <c r="N62" s="7">
        <f>SUM(B62:M62)/12</f>
        <v>31.666666666666668</v>
      </c>
    </row>
    <row r="63" spans="1:15" s="1" customFormat="1" x14ac:dyDescent="0.25">
      <c r="A63" s="4" t="s">
        <v>16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>
        <f>SUM(B63:M63)/12</f>
        <v>0</v>
      </c>
    </row>
    <row r="64" spans="1:15" s="1" customFormat="1" x14ac:dyDescent="0.25">
      <c r="A64" s="4" t="s">
        <v>17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9">
        <f>SUM(B64:M64)/12</f>
        <v>0</v>
      </c>
    </row>
    <row r="65" spans="1:15" s="1" customFormat="1" x14ac:dyDescent="0.25">
      <c r="A65" s="4"/>
      <c r="B65" s="10"/>
      <c r="C65" s="10"/>
      <c r="D65" s="10"/>
      <c r="E65" s="10"/>
      <c r="F65" s="10"/>
      <c r="G65" s="10"/>
      <c r="H65" s="8"/>
      <c r="I65" s="10"/>
      <c r="J65" s="10"/>
      <c r="K65" s="10"/>
      <c r="L65" s="10"/>
      <c r="M65" s="10"/>
      <c r="N65" s="11"/>
      <c r="O65" s="12"/>
    </row>
    <row r="66" spans="1:15" s="1" customFormat="1" x14ac:dyDescent="0.25">
      <c r="A66" s="2" t="s">
        <v>51</v>
      </c>
      <c r="B66" s="3">
        <f>B62+(B64*1.5)+(B63*0.8)</f>
        <v>36</v>
      </c>
      <c r="C66" s="3">
        <f>C62+(C64*1.5)+(C63*0.8)</f>
        <v>34</v>
      </c>
      <c r="D66" s="3">
        <f>D62+(D64*1.5)+(D63*0.8)</f>
        <v>34</v>
      </c>
      <c r="E66" s="3">
        <f>E62+(E64*1.5)+(E63*0.8)</f>
        <v>33</v>
      </c>
      <c r="F66" s="3">
        <f>F62+(F64*1.5)+(F63*0.8)</f>
        <v>33</v>
      </c>
      <c r="G66" s="3">
        <f t="shared" ref="G66:M66" si="5">G62+(G64*1.5)+(G63*0.8)</f>
        <v>31</v>
      </c>
      <c r="H66" s="3">
        <f t="shared" si="5"/>
        <v>30</v>
      </c>
      <c r="I66" s="3">
        <f t="shared" si="5"/>
        <v>30</v>
      </c>
      <c r="J66" s="3">
        <f t="shared" si="5"/>
        <v>30</v>
      </c>
      <c r="K66" s="3">
        <f t="shared" si="5"/>
        <v>30</v>
      </c>
      <c r="L66" s="3">
        <f t="shared" si="5"/>
        <v>27</v>
      </c>
      <c r="M66" s="3">
        <f t="shared" si="5"/>
        <v>32</v>
      </c>
      <c r="N66" s="9">
        <f>SUM(B66:M66)/12</f>
        <v>31.666666666666668</v>
      </c>
    </row>
    <row r="67" spans="1:15" s="1" customFormat="1" x14ac:dyDescent="0.25">
      <c r="A67" s="13" t="s">
        <v>19</v>
      </c>
      <c r="B67" s="14">
        <v>0</v>
      </c>
      <c r="C67" s="15">
        <v>0</v>
      </c>
      <c r="D67" s="15">
        <v>1</v>
      </c>
      <c r="E67" s="15">
        <v>0</v>
      </c>
      <c r="F67" s="15">
        <v>1</v>
      </c>
      <c r="G67" s="15">
        <v>1</v>
      </c>
      <c r="H67" s="15">
        <v>1</v>
      </c>
      <c r="I67" s="15">
        <v>1</v>
      </c>
      <c r="J67" s="15">
        <v>0</v>
      </c>
      <c r="K67" s="15">
        <v>0</v>
      </c>
      <c r="L67" s="15">
        <v>0</v>
      </c>
      <c r="M67" s="15">
        <v>2</v>
      </c>
      <c r="N67" s="16">
        <f>SUM(B67:M67)</f>
        <v>7</v>
      </c>
      <c r="O67" s="15"/>
    </row>
    <row r="68" spans="1:15" x14ac:dyDescent="0.25">
      <c r="B68" s="50" t="s">
        <v>22</v>
      </c>
      <c r="C68" s="50" t="s">
        <v>56</v>
      </c>
      <c r="D68" s="50" t="s">
        <v>136</v>
      </c>
      <c r="E68" s="50" t="s">
        <v>59</v>
      </c>
      <c r="F68" s="50" t="s">
        <v>101</v>
      </c>
      <c r="G68" s="50" t="s">
        <v>215</v>
      </c>
      <c r="H68" s="50" t="s">
        <v>67</v>
      </c>
      <c r="I68" s="50" t="s">
        <v>75</v>
      </c>
      <c r="J68" s="50"/>
      <c r="K68" s="50"/>
      <c r="L68" s="50" t="s">
        <v>78</v>
      </c>
      <c r="M68" s="50"/>
    </row>
    <row r="70" spans="1:15" x14ac:dyDescent="0.25">
      <c r="A70" s="221" t="s">
        <v>216</v>
      </c>
      <c r="B70" s="221"/>
      <c r="C70" s="221"/>
      <c r="D70" s="221"/>
    </row>
    <row r="71" spans="1:15" s="1" customFormat="1" x14ac:dyDescent="0.25">
      <c r="A71" s="2"/>
      <c r="B71" s="3" t="s">
        <v>2</v>
      </c>
      <c r="C71" s="3" t="s">
        <v>3</v>
      </c>
      <c r="D71" s="3" t="s">
        <v>4</v>
      </c>
      <c r="E71" s="3" t="s">
        <v>5</v>
      </c>
      <c r="F71" s="3" t="s">
        <v>6</v>
      </c>
      <c r="G71" s="3" t="s">
        <v>7</v>
      </c>
      <c r="H71" s="3" t="s">
        <v>8</v>
      </c>
      <c r="I71" s="3" t="s">
        <v>9</v>
      </c>
      <c r="J71" s="3" t="s">
        <v>10</v>
      </c>
      <c r="K71" s="3" t="s">
        <v>11</v>
      </c>
      <c r="L71" s="3" t="s">
        <v>12</v>
      </c>
      <c r="M71" s="3" t="s">
        <v>13</v>
      </c>
      <c r="N71" s="4" t="s">
        <v>14</v>
      </c>
    </row>
    <row r="72" spans="1:15" s="1" customForma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5" s="1" customFormat="1" x14ac:dyDescent="0.25">
      <c r="A73" s="4" t="s">
        <v>15</v>
      </c>
      <c r="B73" s="5">
        <f>32+3-1</f>
        <v>34</v>
      </c>
      <c r="C73" s="3">
        <v>36</v>
      </c>
      <c r="D73" s="3">
        <f>36+1-2</f>
        <v>35</v>
      </c>
      <c r="E73" s="3">
        <f>35+1-2</f>
        <v>34</v>
      </c>
      <c r="F73" s="3">
        <v>35</v>
      </c>
      <c r="G73" s="6">
        <v>36</v>
      </c>
      <c r="H73" s="3">
        <v>36</v>
      </c>
      <c r="I73" s="3">
        <v>37</v>
      </c>
      <c r="J73" s="3">
        <f>37-1</f>
        <v>36</v>
      </c>
      <c r="K73" s="3">
        <v>36</v>
      </c>
      <c r="L73" s="3">
        <f>36-1</f>
        <v>35</v>
      </c>
      <c r="M73" s="3">
        <v>35</v>
      </c>
      <c r="N73" s="7">
        <f>SUM(B73:M73)/12</f>
        <v>35.416666666666664</v>
      </c>
    </row>
    <row r="74" spans="1:15" s="1" customFormat="1" x14ac:dyDescent="0.25">
      <c r="A74" s="4" t="s">
        <v>16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9">
        <f>SUM(B74:M74)/12</f>
        <v>0</v>
      </c>
    </row>
    <row r="75" spans="1:15" s="1" customFormat="1" x14ac:dyDescent="0.25">
      <c r="A75" s="4" t="s">
        <v>17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9">
        <f>SUM(B75:M75)/12</f>
        <v>0</v>
      </c>
    </row>
    <row r="76" spans="1:15" s="1" customFormat="1" x14ac:dyDescent="0.25">
      <c r="A76" s="4"/>
      <c r="B76" s="10"/>
      <c r="C76" s="10"/>
      <c r="D76" s="10"/>
      <c r="E76" s="10"/>
      <c r="F76" s="10"/>
      <c r="G76" s="10"/>
      <c r="H76" s="8"/>
      <c r="I76" s="10"/>
      <c r="J76" s="10"/>
      <c r="K76" s="10"/>
      <c r="L76" s="10"/>
      <c r="M76" s="10"/>
      <c r="N76" s="11"/>
      <c r="O76" s="12"/>
    </row>
    <row r="77" spans="1:15" s="1" customFormat="1" x14ac:dyDescent="0.25">
      <c r="A77" s="2" t="s">
        <v>51</v>
      </c>
      <c r="B77" s="3">
        <f>B73+(B75*1.5)+(B74*0.8)</f>
        <v>34</v>
      </c>
      <c r="C77" s="3">
        <f>C73+(C75*1.5)+(C74*0.8)</f>
        <v>36</v>
      </c>
      <c r="D77" s="3">
        <f>D73+(D75*1.5)+(D74*0.8)</f>
        <v>35</v>
      </c>
      <c r="E77" s="3">
        <f>E73+(E75*1.5)+(E74*0.8)</f>
        <v>34</v>
      </c>
      <c r="F77" s="3">
        <f>F73+(F75*1.5)+(F74*0.8)</f>
        <v>35</v>
      </c>
      <c r="G77" s="3">
        <f t="shared" ref="G77:M77" si="6">G73+(G75*1.5)+(G74*0.8)</f>
        <v>36</v>
      </c>
      <c r="H77" s="3">
        <f t="shared" si="6"/>
        <v>36</v>
      </c>
      <c r="I77" s="3">
        <f t="shared" si="6"/>
        <v>37</v>
      </c>
      <c r="J77" s="3">
        <f t="shared" si="6"/>
        <v>36</v>
      </c>
      <c r="K77" s="3">
        <f t="shared" si="6"/>
        <v>36</v>
      </c>
      <c r="L77" s="3">
        <f t="shared" si="6"/>
        <v>35</v>
      </c>
      <c r="M77" s="3">
        <f t="shared" si="6"/>
        <v>35</v>
      </c>
      <c r="N77" s="9">
        <f>SUM(B77:M77)/12</f>
        <v>35.416666666666664</v>
      </c>
    </row>
    <row r="78" spans="1:15" s="1" customFormat="1" x14ac:dyDescent="0.25">
      <c r="A78" s="13" t="s">
        <v>19</v>
      </c>
      <c r="B78" s="14">
        <v>3</v>
      </c>
      <c r="C78" s="15">
        <v>2</v>
      </c>
      <c r="D78" s="15">
        <v>1</v>
      </c>
      <c r="E78" s="15">
        <v>1</v>
      </c>
      <c r="F78" s="15">
        <v>1</v>
      </c>
      <c r="G78" s="15">
        <v>1</v>
      </c>
      <c r="H78" s="15"/>
      <c r="I78" s="15">
        <v>1</v>
      </c>
      <c r="J78" s="223" t="s">
        <v>220</v>
      </c>
      <c r="K78" s="222"/>
      <c r="L78" s="222"/>
      <c r="M78" s="222"/>
      <c r="N78" s="16">
        <f>SUM(B78:M78)</f>
        <v>10</v>
      </c>
      <c r="O78" s="15"/>
    </row>
    <row r="79" spans="1:15" x14ac:dyDescent="0.25">
      <c r="B79" s="50" t="s">
        <v>22</v>
      </c>
      <c r="C79" s="50"/>
      <c r="D79" s="50" t="s">
        <v>217</v>
      </c>
      <c r="E79" s="50" t="s">
        <v>218</v>
      </c>
      <c r="F79" s="50"/>
      <c r="G79" s="50"/>
      <c r="H79" s="50"/>
      <c r="J79" s="50" t="s">
        <v>53</v>
      </c>
      <c r="K79" s="50"/>
      <c r="L79" s="50" t="s">
        <v>219</v>
      </c>
      <c r="M79" s="50"/>
    </row>
    <row r="81" spans="1:15" x14ac:dyDescent="0.25">
      <c r="A81" s="189" t="s">
        <v>126</v>
      </c>
      <c r="B81" s="189"/>
      <c r="C81" s="189"/>
      <c r="D81" s="189"/>
    </row>
    <row r="82" spans="1:15" s="1" customFormat="1" x14ac:dyDescent="0.25">
      <c r="A82" s="2"/>
      <c r="B82" s="3" t="s">
        <v>2</v>
      </c>
      <c r="C82" s="3" t="s">
        <v>3</v>
      </c>
      <c r="D82" s="3" t="s">
        <v>4</v>
      </c>
      <c r="E82" s="3" t="s">
        <v>5</v>
      </c>
      <c r="F82" s="3" t="s">
        <v>6</v>
      </c>
      <c r="G82" s="3" t="s">
        <v>7</v>
      </c>
      <c r="H82" s="3" t="s">
        <v>8</v>
      </c>
      <c r="I82" s="3" t="s">
        <v>9</v>
      </c>
      <c r="J82" s="3" t="s">
        <v>10</v>
      </c>
      <c r="K82" s="3" t="s">
        <v>11</v>
      </c>
      <c r="L82" s="3" t="s">
        <v>12</v>
      </c>
      <c r="M82" s="3" t="s">
        <v>13</v>
      </c>
      <c r="N82" s="4" t="s">
        <v>14</v>
      </c>
    </row>
    <row r="83" spans="1:15" s="1" customForma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5" s="1" customFormat="1" x14ac:dyDescent="0.25">
      <c r="A84" s="4" t="s">
        <v>15</v>
      </c>
      <c r="B84" s="5">
        <f>37-2+2</f>
        <v>37</v>
      </c>
      <c r="C84" s="3">
        <f>37+2-1</f>
        <v>38</v>
      </c>
      <c r="D84" s="3">
        <f>38+1-1</f>
        <v>38</v>
      </c>
      <c r="E84" s="3">
        <f>38+2-1</f>
        <v>39</v>
      </c>
      <c r="F84" s="3">
        <v>38</v>
      </c>
      <c r="G84" s="6">
        <v>40</v>
      </c>
      <c r="H84" s="3">
        <f>40+2-1</f>
        <v>41</v>
      </c>
      <c r="I84" s="3">
        <f>41+1-4</f>
        <v>38</v>
      </c>
      <c r="J84" s="3">
        <f>38-1</f>
        <v>37</v>
      </c>
      <c r="K84" s="3">
        <v>36</v>
      </c>
      <c r="L84" s="3">
        <v>38</v>
      </c>
      <c r="M84" s="3">
        <v>38</v>
      </c>
      <c r="N84" s="7">
        <f>SUM(B84:M84)/12</f>
        <v>38.166666666666664</v>
      </c>
    </row>
    <row r="85" spans="1:15" s="1" customFormat="1" x14ac:dyDescent="0.25">
      <c r="A85" s="4" t="s">
        <v>16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9">
        <f>SUM(B85:M85)/12</f>
        <v>0</v>
      </c>
    </row>
    <row r="86" spans="1:15" s="1" customFormat="1" x14ac:dyDescent="0.25">
      <c r="A86" s="4" t="s">
        <v>17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9">
        <f>SUM(B86:M86)/12</f>
        <v>0</v>
      </c>
    </row>
    <row r="87" spans="1:15" s="1" customFormat="1" x14ac:dyDescent="0.25">
      <c r="A87" s="4"/>
      <c r="B87" s="10"/>
      <c r="C87" s="10"/>
      <c r="D87" s="10"/>
      <c r="E87" s="10"/>
      <c r="F87" s="10"/>
      <c r="G87" s="10"/>
      <c r="H87" s="8"/>
      <c r="I87" s="10"/>
      <c r="J87" s="10"/>
      <c r="K87" s="10"/>
      <c r="L87" s="10"/>
      <c r="M87" s="10"/>
      <c r="N87" s="11"/>
      <c r="O87" s="12"/>
    </row>
    <row r="88" spans="1:15" s="1" customFormat="1" x14ac:dyDescent="0.25">
      <c r="A88" s="2" t="s">
        <v>51</v>
      </c>
      <c r="B88" s="3">
        <f>B84+(B86*1.5)+(B85*0.8)</f>
        <v>37</v>
      </c>
      <c r="C88" s="3">
        <f>C84+(C86*1.5)+(C85*0.8)</f>
        <v>38</v>
      </c>
      <c r="D88" s="3">
        <f>D84+(D86*1.5)+(D85*0.8)</f>
        <v>38</v>
      </c>
      <c r="E88" s="3">
        <f>E84+(E86*1.5)+(E85*0.8)</f>
        <v>39</v>
      </c>
      <c r="F88" s="3">
        <f>F84+(F86*1.5)+(F85*0.8)</f>
        <v>38</v>
      </c>
      <c r="G88" s="3">
        <f t="shared" ref="G88:M88" si="7">G84+(G86*1.5)+(G85*0.8)</f>
        <v>40</v>
      </c>
      <c r="H88" s="3">
        <f t="shared" si="7"/>
        <v>41</v>
      </c>
      <c r="I88" s="3">
        <f t="shared" si="7"/>
        <v>38</v>
      </c>
      <c r="J88" s="3">
        <f t="shared" si="7"/>
        <v>37</v>
      </c>
      <c r="K88" s="3">
        <f t="shared" si="7"/>
        <v>36</v>
      </c>
      <c r="L88" s="3">
        <f t="shared" si="7"/>
        <v>38</v>
      </c>
      <c r="M88" s="3">
        <f t="shared" si="7"/>
        <v>38</v>
      </c>
      <c r="N88" s="9">
        <f>SUM(B88:M88)/12</f>
        <v>38.166666666666664</v>
      </c>
    </row>
    <row r="89" spans="1:15" s="1" customFormat="1" x14ac:dyDescent="0.25">
      <c r="A89" s="13" t="s">
        <v>19</v>
      </c>
      <c r="B89" s="14">
        <v>2</v>
      </c>
      <c r="C89" s="15">
        <v>2</v>
      </c>
      <c r="D89" s="15">
        <v>1</v>
      </c>
      <c r="E89" s="15">
        <v>2</v>
      </c>
      <c r="F89" s="15">
        <v>0</v>
      </c>
      <c r="G89" s="15">
        <v>2</v>
      </c>
      <c r="H89" s="15">
        <v>2</v>
      </c>
      <c r="I89" s="15">
        <v>1</v>
      </c>
      <c r="J89" s="15">
        <v>0</v>
      </c>
      <c r="K89" s="15">
        <v>0</v>
      </c>
      <c r="L89" s="15">
        <v>2</v>
      </c>
      <c r="M89" s="15">
        <v>0</v>
      </c>
      <c r="N89" s="16">
        <f>SUM(B89:M89)</f>
        <v>14</v>
      </c>
      <c r="O89" s="15"/>
    </row>
    <row r="90" spans="1:15" x14ac:dyDescent="0.25">
      <c r="B90" s="50" t="s">
        <v>135</v>
      </c>
      <c r="C90" s="50" t="s">
        <v>64</v>
      </c>
      <c r="D90" s="50" t="s">
        <v>136</v>
      </c>
      <c r="E90" s="50" t="s">
        <v>59</v>
      </c>
      <c r="F90" s="50" t="s">
        <v>101</v>
      </c>
      <c r="G90" s="50"/>
      <c r="H90" s="50" t="s">
        <v>137</v>
      </c>
      <c r="I90" s="50" t="s">
        <v>138</v>
      </c>
      <c r="J90" s="50" t="s">
        <v>53</v>
      </c>
      <c r="K90" s="50" t="s">
        <v>77</v>
      </c>
      <c r="L90" s="50"/>
      <c r="M90" s="50"/>
    </row>
    <row r="92" spans="1:15" x14ac:dyDescent="0.25">
      <c r="A92" s="35" t="s">
        <v>39</v>
      </c>
      <c r="B92" s="72"/>
      <c r="C92" s="72"/>
      <c r="D92" s="72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</row>
    <row r="93" spans="1:15" x14ac:dyDescent="0.25">
      <c r="A93" s="140"/>
      <c r="B93" s="141" t="s">
        <v>2</v>
      </c>
      <c r="C93" s="141" t="s">
        <v>3</v>
      </c>
      <c r="D93" s="141" t="s">
        <v>4</v>
      </c>
      <c r="E93" s="141" t="s">
        <v>5</v>
      </c>
      <c r="F93" s="141" t="s">
        <v>6</v>
      </c>
      <c r="G93" s="141" t="s">
        <v>7</v>
      </c>
      <c r="H93" s="141" t="s">
        <v>8</v>
      </c>
      <c r="I93" s="141" t="s">
        <v>9</v>
      </c>
      <c r="J93" s="141" t="s">
        <v>10</v>
      </c>
      <c r="K93" s="141" t="s">
        <v>11</v>
      </c>
      <c r="L93" s="141" t="s">
        <v>12</v>
      </c>
      <c r="M93" s="141" t="s">
        <v>13</v>
      </c>
      <c r="N93" s="142" t="s">
        <v>14</v>
      </c>
      <c r="O93" s="77"/>
    </row>
    <row r="94" spans="1:15" x14ac:dyDescent="0.25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77"/>
    </row>
    <row r="95" spans="1:15" x14ac:dyDescent="0.25">
      <c r="A95" s="142" t="s">
        <v>15</v>
      </c>
      <c r="B95" s="28">
        <v>45</v>
      </c>
      <c r="C95" s="54">
        <f>45+1-1</f>
        <v>45</v>
      </c>
      <c r="D95" s="54">
        <f>45+2-4</f>
        <v>43</v>
      </c>
      <c r="E95" s="54">
        <f>43</f>
        <v>43</v>
      </c>
      <c r="F95" s="54">
        <f>43-6</f>
        <v>37</v>
      </c>
      <c r="G95" s="215">
        <f>37-2</f>
        <v>35</v>
      </c>
      <c r="H95" s="54">
        <f>35-2</f>
        <v>33</v>
      </c>
      <c r="I95" s="54">
        <f>33+1+0.5</f>
        <v>34.5</v>
      </c>
      <c r="J95" s="54">
        <f>35-1</f>
        <v>34</v>
      </c>
      <c r="K95" s="54">
        <f>34+1+0.5</f>
        <v>35.5</v>
      </c>
      <c r="L95" s="54">
        <f>36+1</f>
        <v>37</v>
      </c>
      <c r="M95" s="3">
        <v>37</v>
      </c>
      <c r="N95" s="7">
        <f>SUM(B95:M95)/12</f>
        <v>38.25</v>
      </c>
      <c r="O95" s="77"/>
    </row>
    <row r="96" spans="1:15" x14ac:dyDescent="0.25">
      <c r="A96" s="142" t="s">
        <v>16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8"/>
      <c r="N96" s="9">
        <f>SUM(B96:M96)/12</f>
        <v>0</v>
      </c>
      <c r="O96" s="77"/>
    </row>
    <row r="97" spans="1:15" x14ac:dyDescent="0.25">
      <c r="A97" s="142" t="s">
        <v>17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10"/>
      <c r="N97" s="9">
        <f>SUM(B97:M97)/12</f>
        <v>0</v>
      </c>
      <c r="O97" s="77"/>
    </row>
    <row r="98" spans="1:15" x14ac:dyDescent="0.25">
      <c r="A98" s="142"/>
      <c r="B98" s="10"/>
      <c r="C98" s="10"/>
      <c r="D98" s="40"/>
      <c r="E98" s="40"/>
      <c r="F98" s="40"/>
      <c r="G98" s="40"/>
      <c r="H98" s="39"/>
      <c r="I98" s="40"/>
      <c r="J98" s="10"/>
      <c r="K98" s="10"/>
      <c r="L98" s="10"/>
      <c r="M98" s="10"/>
      <c r="N98" s="11"/>
      <c r="O98" s="78"/>
    </row>
    <row r="99" spans="1:15" x14ac:dyDescent="0.25">
      <c r="A99" s="140" t="s">
        <v>18</v>
      </c>
      <c r="B99" s="3">
        <f>B95+(B97*1.5)+(B96*0.8)</f>
        <v>45</v>
      </c>
      <c r="C99" s="3">
        <f>C95+(C97*1.5)+(C96*0.8)</f>
        <v>45</v>
      </c>
      <c r="D99" s="3">
        <f>D95+(D97*1.5)+(D96*0.8)</f>
        <v>43</v>
      </c>
      <c r="E99" s="3">
        <f>E95+(E97*1.5)+(E96*0.8)</f>
        <v>43</v>
      </c>
      <c r="F99" s="3">
        <f>F95+(F97*1.5)+(F96*0.8)</f>
        <v>37</v>
      </c>
      <c r="G99" s="3">
        <f t="shared" ref="G99:M99" si="8">G95+(G97*1.5)+(G96*0.8)</f>
        <v>35</v>
      </c>
      <c r="H99" s="3">
        <f t="shared" si="8"/>
        <v>33</v>
      </c>
      <c r="I99" s="3">
        <f t="shared" si="8"/>
        <v>34.5</v>
      </c>
      <c r="J99" s="3">
        <f t="shared" si="8"/>
        <v>34</v>
      </c>
      <c r="K99" s="3">
        <f t="shared" si="8"/>
        <v>35.5</v>
      </c>
      <c r="L99" s="3">
        <f t="shared" si="8"/>
        <v>37</v>
      </c>
      <c r="M99" s="3">
        <f t="shared" si="8"/>
        <v>37</v>
      </c>
      <c r="N99" s="9">
        <f>SUM(B99:M99)/12</f>
        <v>38.25</v>
      </c>
      <c r="O99" s="77"/>
    </row>
    <row r="100" spans="1:15" x14ac:dyDescent="0.25">
      <c r="A100" s="81" t="s">
        <v>19</v>
      </c>
      <c r="B100" s="80">
        <v>1</v>
      </c>
      <c r="C100" s="79">
        <v>1</v>
      </c>
      <c r="D100" s="79">
        <v>2</v>
      </c>
      <c r="E100" s="79">
        <v>0</v>
      </c>
      <c r="F100" s="79">
        <v>0</v>
      </c>
      <c r="G100" s="79">
        <v>0</v>
      </c>
      <c r="H100" s="79">
        <v>0</v>
      </c>
      <c r="I100" s="79">
        <v>2</v>
      </c>
      <c r="J100" s="79">
        <v>0</v>
      </c>
      <c r="K100" s="79">
        <v>2</v>
      </c>
      <c r="L100" s="79">
        <v>1</v>
      </c>
      <c r="M100" s="79">
        <v>0</v>
      </c>
      <c r="N100" s="82">
        <v>7</v>
      </c>
      <c r="O100" s="77"/>
    </row>
    <row r="101" spans="1:15" x14ac:dyDescent="0.25">
      <c r="B101" s="50"/>
      <c r="C101" s="50" t="s">
        <v>64</v>
      </c>
      <c r="D101" s="50" t="s">
        <v>65</v>
      </c>
      <c r="E101" s="50"/>
      <c r="F101" s="50" t="s">
        <v>133</v>
      </c>
      <c r="G101" s="50" t="s">
        <v>66</v>
      </c>
      <c r="H101" s="50" t="s">
        <v>67</v>
      </c>
      <c r="I101" s="50" t="s">
        <v>144</v>
      </c>
      <c r="J101" s="50"/>
      <c r="K101" s="50" t="s">
        <v>255</v>
      </c>
      <c r="L101" s="50"/>
      <c r="M101" s="50" t="s">
        <v>134</v>
      </c>
    </row>
    <row r="102" spans="1:15" x14ac:dyDescent="0.25">
      <c r="I102" s="50" t="s">
        <v>214</v>
      </c>
    </row>
  </sheetData>
  <pageMargins left="0" right="0" top="0.19685039370078741" bottom="0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workbookViewId="0">
      <selection activeCell="D34" sqref="D34"/>
    </sheetView>
  </sheetViews>
  <sheetFormatPr defaultRowHeight="15" x14ac:dyDescent="0.25"/>
  <cols>
    <col min="14" max="14" width="13.140625" customWidth="1"/>
  </cols>
  <sheetData>
    <row r="1" spans="1:15" x14ac:dyDescent="0.25">
      <c r="A1" s="155" t="s">
        <v>400</v>
      </c>
    </row>
    <row r="3" spans="1:15" x14ac:dyDescent="0.25">
      <c r="A3" s="274" t="s">
        <v>374</v>
      </c>
      <c r="B3" s="274"/>
      <c r="C3" s="274"/>
      <c r="D3" s="274"/>
    </row>
    <row r="4" spans="1:15" s="1" customFormat="1" x14ac:dyDescent="0.25">
      <c r="A4" s="2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4" t="s">
        <v>14</v>
      </c>
    </row>
    <row r="5" spans="1:15" s="1" customForma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5" s="1" customFormat="1" x14ac:dyDescent="0.25">
      <c r="A6" s="4" t="s">
        <v>15</v>
      </c>
      <c r="B6" s="5">
        <v>62</v>
      </c>
      <c r="C6" s="3">
        <v>63</v>
      </c>
      <c r="D6" s="3">
        <v>64</v>
      </c>
      <c r="E6" s="3">
        <f>64-1</f>
        <v>63</v>
      </c>
      <c r="F6" s="3">
        <f>64-1+1</f>
        <v>64</v>
      </c>
      <c r="G6" s="6">
        <f>64+2</f>
        <v>66</v>
      </c>
      <c r="H6" s="3">
        <f>67+2+0.5</f>
        <v>69.5</v>
      </c>
      <c r="I6" s="3">
        <f>71+1</f>
        <v>72</v>
      </c>
      <c r="J6" s="3">
        <v>73</v>
      </c>
      <c r="K6" s="3">
        <v>74</v>
      </c>
      <c r="L6" s="3">
        <v>74</v>
      </c>
      <c r="M6" s="3">
        <v>76</v>
      </c>
      <c r="N6" s="7">
        <f>SUM(B6:M6)/12</f>
        <v>68.375</v>
      </c>
    </row>
    <row r="7" spans="1:15" s="1" customFormat="1" x14ac:dyDescent="0.25">
      <c r="A7" s="4" t="s">
        <v>16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>
        <f>SUM(B7:M7)/12</f>
        <v>0</v>
      </c>
    </row>
    <row r="8" spans="1:15" s="1" customFormat="1" x14ac:dyDescent="0.25">
      <c r="A8" s="4" t="s">
        <v>17</v>
      </c>
      <c r="B8" s="10">
        <v>0</v>
      </c>
      <c r="C8" s="10"/>
      <c r="D8" s="10"/>
      <c r="E8" s="10">
        <v>1</v>
      </c>
      <c r="F8" s="10"/>
      <c r="G8" s="10">
        <v>1</v>
      </c>
      <c r="H8" s="10">
        <v>1</v>
      </c>
      <c r="I8" s="10"/>
      <c r="J8" s="10"/>
      <c r="K8" s="10"/>
      <c r="L8" s="10"/>
      <c r="M8" s="10"/>
      <c r="N8" s="9">
        <f>SUM(B8:M8)/12</f>
        <v>0.25</v>
      </c>
    </row>
    <row r="9" spans="1:15" s="1" customFormat="1" x14ac:dyDescent="0.25">
      <c r="A9" s="4"/>
      <c r="B9" s="10"/>
      <c r="C9" s="10"/>
      <c r="D9" s="10"/>
      <c r="E9" s="10"/>
      <c r="F9" s="10"/>
      <c r="G9" s="10"/>
      <c r="H9" s="8"/>
      <c r="I9" s="10"/>
      <c r="J9" s="10"/>
      <c r="K9" s="10"/>
      <c r="L9" s="10"/>
      <c r="M9" s="10"/>
      <c r="N9" s="11"/>
      <c r="O9" s="12"/>
    </row>
    <row r="10" spans="1:15" s="1" customFormat="1" x14ac:dyDescent="0.25">
      <c r="A10" s="2" t="s">
        <v>51</v>
      </c>
      <c r="B10" s="3">
        <f>B6+(B8*1.5)+(B7*0.8)</f>
        <v>62</v>
      </c>
      <c r="C10" s="3">
        <f>C6+(C8*1.5)+(C7*0.8)</f>
        <v>63</v>
      </c>
      <c r="D10" s="3">
        <f>D6+(D8*1.5)+(D7*0.8)</f>
        <v>64</v>
      </c>
      <c r="E10" s="3">
        <f>E6+(E8*1.5)+(E7*0.8)</f>
        <v>64.5</v>
      </c>
      <c r="F10" s="3">
        <f>F6+(F8*1.5)+(F7*0.8)</f>
        <v>64</v>
      </c>
      <c r="G10" s="3">
        <f t="shared" ref="G10:M10" si="0">G6+(G8*1.5)+(G7*0.8)</f>
        <v>67.5</v>
      </c>
      <c r="H10" s="3">
        <f t="shared" si="0"/>
        <v>71</v>
      </c>
      <c r="I10" s="3">
        <f t="shared" si="0"/>
        <v>72</v>
      </c>
      <c r="J10" s="3">
        <f t="shared" si="0"/>
        <v>73</v>
      </c>
      <c r="K10" s="3">
        <f t="shared" si="0"/>
        <v>74</v>
      </c>
      <c r="L10" s="3">
        <f t="shared" si="0"/>
        <v>74</v>
      </c>
      <c r="M10" s="3">
        <f t="shared" si="0"/>
        <v>76</v>
      </c>
      <c r="N10" s="9">
        <f>SUM(B10:M10)/12</f>
        <v>68.75</v>
      </c>
    </row>
    <row r="12" spans="1:15" x14ac:dyDescent="0.25">
      <c r="A12" s="130" t="s">
        <v>70</v>
      </c>
      <c r="B12" s="102">
        <v>8.5</v>
      </c>
      <c r="C12" s="102">
        <v>10</v>
      </c>
      <c r="D12" s="102">
        <v>11</v>
      </c>
      <c r="E12" s="102">
        <v>11</v>
      </c>
      <c r="F12" s="102">
        <v>10</v>
      </c>
      <c r="G12" s="131">
        <f>10+2+0.5</f>
        <v>12.5</v>
      </c>
      <c r="H12" s="131">
        <f>13-3</f>
        <v>10</v>
      </c>
      <c r="I12" s="131">
        <v>10</v>
      </c>
      <c r="J12" s="131">
        <v>9</v>
      </c>
      <c r="K12" s="131">
        <v>9</v>
      </c>
      <c r="L12" s="131">
        <v>8</v>
      </c>
      <c r="M12" s="131">
        <v>8</v>
      </c>
      <c r="N12" s="132">
        <f>SUM(B12,C12,D12,E12,F12,G12,H12,I12,J12,K12,L12,M12)/12</f>
        <v>9.75</v>
      </c>
      <c r="O12" s="136"/>
    </row>
    <row r="13" spans="1:15" x14ac:dyDescent="0.25">
      <c r="A13" s="102" t="s">
        <v>71</v>
      </c>
      <c r="B13" s="131"/>
      <c r="C13" s="131"/>
      <c r="D13" s="131"/>
      <c r="E13" s="131"/>
      <c r="F13" s="131"/>
      <c r="G13" s="131"/>
      <c r="H13" s="102"/>
      <c r="I13" s="131"/>
      <c r="J13" s="131"/>
      <c r="K13" s="131"/>
      <c r="L13" s="131"/>
      <c r="M13" s="131"/>
      <c r="N13" s="103"/>
      <c r="O13" s="136"/>
    </row>
    <row r="15" spans="1:15" s="1" customFormat="1" x14ac:dyDescent="0.25">
      <c r="A15" s="196" t="s">
        <v>152</v>
      </c>
      <c r="B15" s="282">
        <v>3</v>
      </c>
      <c r="C15" s="194">
        <v>1</v>
      </c>
      <c r="D15" s="194">
        <v>1</v>
      </c>
      <c r="E15" s="194">
        <v>1</v>
      </c>
      <c r="F15" s="194">
        <v>1</v>
      </c>
      <c r="G15" s="194">
        <v>3</v>
      </c>
      <c r="H15" s="194">
        <v>4</v>
      </c>
      <c r="I15" s="194">
        <v>1</v>
      </c>
      <c r="J15" s="194">
        <v>1</v>
      </c>
      <c r="K15" s="194">
        <v>1</v>
      </c>
      <c r="L15" s="194">
        <v>0</v>
      </c>
      <c r="M15" s="194">
        <v>2</v>
      </c>
      <c r="N15" s="16">
        <f>SUM(B15:M15)</f>
        <v>19</v>
      </c>
      <c r="O15" s="15"/>
    </row>
    <row r="16" spans="1:15" x14ac:dyDescent="0.25">
      <c r="A16" s="206"/>
      <c r="B16" s="196"/>
      <c r="C16" s="196"/>
      <c r="D16" s="196" t="s">
        <v>59</v>
      </c>
      <c r="E16" s="196" t="s">
        <v>101</v>
      </c>
      <c r="F16" s="196"/>
      <c r="G16" s="196">
        <v>-110212</v>
      </c>
      <c r="H16" s="196">
        <v>-70312</v>
      </c>
      <c r="I16" s="196"/>
      <c r="J16" s="196"/>
      <c r="K16" s="196"/>
      <c r="L16" s="196"/>
      <c r="M16" s="196"/>
      <c r="N16" s="206"/>
    </row>
    <row r="17" spans="1:15" x14ac:dyDescent="0.25">
      <c r="B17" s="50"/>
      <c r="C17" s="50"/>
      <c r="D17" s="50"/>
      <c r="E17" s="50">
        <v>-21211</v>
      </c>
      <c r="F17" s="50"/>
      <c r="G17" s="50"/>
      <c r="H17" s="50"/>
      <c r="I17" s="50"/>
      <c r="J17" s="50"/>
      <c r="K17" s="50"/>
      <c r="L17" s="50"/>
      <c r="M17" s="50"/>
    </row>
    <row r="18" spans="1:15" x14ac:dyDescent="0.25">
      <c r="A18" s="133" t="s">
        <v>73</v>
      </c>
      <c r="B18" s="283">
        <v>2</v>
      </c>
      <c r="C18" s="283">
        <v>1</v>
      </c>
      <c r="D18" s="283">
        <v>1</v>
      </c>
      <c r="E18" s="283">
        <v>0</v>
      </c>
      <c r="F18" s="283">
        <v>0</v>
      </c>
      <c r="G18" s="283">
        <v>3</v>
      </c>
      <c r="H18" s="283"/>
      <c r="I18" s="283"/>
      <c r="J18" s="283"/>
      <c r="K18" s="283"/>
      <c r="L18" s="283"/>
      <c r="M18" s="283"/>
      <c r="N18" s="133"/>
      <c r="O18" s="136"/>
    </row>
    <row r="19" spans="1:15" x14ac:dyDescent="0.25">
      <c r="A19" s="133"/>
      <c r="B19" s="283"/>
      <c r="C19" s="283"/>
      <c r="D19" s="283"/>
      <c r="E19" s="283" t="s">
        <v>101</v>
      </c>
      <c r="F19" s="283"/>
      <c r="G19" s="283" t="s">
        <v>401</v>
      </c>
      <c r="H19" s="283"/>
      <c r="I19" s="283"/>
      <c r="J19" s="283" t="s">
        <v>77</v>
      </c>
      <c r="K19" s="283"/>
      <c r="L19" s="283" t="s">
        <v>156</v>
      </c>
      <c r="M19" s="283"/>
      <c r="N19" s="133"/>
      <c r="O19" s="136"/>
    </row>
    <row r="21" spans="1:15" x14ac:dyDescent="0.25">
      <c r="A21" s="221" t="s">
        <v>260</v>
      </c>
      <c r="B21" s="221"/>
      <c r="C21" s="221"/>
      <c r="D21" s="221"/>
    </row>
    <row r="22" spans="1:15" s="1" customFormat="1" x14ac:dyDescent="0.25">
      <c r="A22" s="2"/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3" t="s">
        <v>7</v>
      </c>
      <c r="H22" s="3" t="s">
        <v>8</v>
      </c>
      <c r="I22" s="3" t="s">
        <v>9</v>
      </c>
      <c r="J22" s="3" t="s">
        <v>10</v>
      </c>
      <c r="K22" s="3" t="s">
        <v>11</v>
      </c>
      <c r="L22" s="3" t="s">
        <v>12</v>
      </c>
      <c r="M22" s="3" t="s">
        <v>13</v>
      </c>
      <c r="N22" s="4" t="s">
        <v>14</v>
      </c>
    </row>
    <row r="23" spans="1:15" s="1" customForma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5" s="1" customFormat="1" x14ac:dyDescent="0.25">
      <c r="A24" s="4" t="s">
        <v>15</v>
      </c>
      <c r="B24" s="5">
        <f>80-19-2+3</f>
        <v>62</v>
      </c>
      <c r="C24" s="3">
        <v>63</v>
      </c>
      <c r="D24" s="3">
        <v>64</v>
      </c>
      <c r="E24" s="3">
        <v>64</v>
      </c>
      <c r="F24" s="3">
        <v>67</v>
      </c>
      <c r="G24" s="6">
        <v>69</v>
      </c>
      <c r="H24" s="3">
        <v>72</v>
      </c>
      <c r="I24" s="3">
        <v>74</v>
      </c>
      <c r="J24" s="3">
        <v>75</v>
      </c>
      <c r="K24" s="3">
        <v>75</v>
      </c>
      <c r="L24" s="3">
        <v>75</v>
      </c>
      <c r="M24" s="3">
        <v>77</v>
      </c>
      <c r="N24" s="7">
        <f>SUM(B24:M24)/12</f>
        <v>69.75</v>
      </c>
    </row>
    <row r="25" spans="1:15" s="1" customFormat="1" x14ac:dyDescent="0.25">
      <c r="A25" s="4" t="s">
        <v>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>
        <f>SUM(B25:M25)/12</f>
        <v>0</v>
      </c>
    </row>
    <row r="26" spans="1:15" s="1" customFormat="1" x14ac:dyDescent="0.25">
      <c r="A26" s="4" t="s">
        <v>17</v>
      </c>
      <c r="B26" s="10">
        <v>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9">
        <f>SUM(B26:M26)/12</f>
        <v>0</v>
      </c>
    </row>
    <row r="27" spans="1:15" s="1" customFormat="1" x14ac:dyDescent="0.25">
      <c r="A27" s="4"/>
      <c r="B27" s="10"/>
      <c r="C27" s="10"/>
      <c r="D27" s="10"/>
      <c r="E27" s="10"/>
      <c r="F27" s="10"/>
      <c r="G27" s="10"/>
      <c r="H27" s="8"/>
      <c r="I27" s="10"/>
      <c r="J27" s="10"/>
      <c r="K27" s="10"/>
      <c r="L27" s="10"/>
      <c r="M27" s="10"/>
      <c r="N27" s="11"/>
      <c r="O27" s="12"/>
    </row>
    <row r="28" spans="1:15" s="1" customFormat="1" x14ac:dyDescent="0.25">
      <c r="A28" s="2" t="s">
        <v>51</v>
      </c>
      <c r="B28" s="3">
        <f>B24+(B26*1.5)+(B25*0.8)</f>
        <v>62</v>
      </c>
      <c r="C28" s="3">
        <f>C24+(C26*1.5)+(C25*0.8)</f>
        <v>63</v>
      </c>
      <c r="D28" s="3">
        <f>D24+(D26*1.5)+(D25*0.8)</f>
        <v>64</v>
      </c>
      <c r="E28" s="3">
        <f>E24+(E26*1.5)+(E25*0.8)</f>
        <v>64</v>
      </c>
      <c r="F28" s="3">
        <f>F24+(F26*1.5)+(F25*0.8)</f>
        <v>67</v>
      </c>
      <c r="G28" s="3">
        <f t="shared" ref="G28:M28" si="1">G24+(G26*1.5)+(G25*0.8)</f>
        <v>69</v>
      </c>
      <c r="H28" s="3">
        <f t="shared" si="1"/>
        <v>72</v>
      </c>
      <c r="I28" s="3">
        <f t="shared" si="1"/>
        <v>74</v>
      </c>
      <c r="J28" s="3">
        <f t="shared" si="1"/>
        <v>75</v>
      </c>
      <c r="K28" s="3">
        <f t="shared" si="1"/>
        <v>75</v>
      </c>
      <c r="L28" s="3">
        <f t="shared" si="1"/>
        <v>75</v>
      </c>
      <c r="M28" s="3">
        <f t="shared" si="1"/>
        <v>77</v>
      </c>
      <c r="N28" s="9">
        <f>SUM(B28:M28)/12</f>
        <v>69.75</v>
      </c>
    </row>
    <row r="30" spans="1:15" x14ac:dyDescent="0.25">
      <c r="A30" s="130" t="s">
        <v>70</v>
      </c>
      <c r="B30" s="102">
        <f>7+1+0.5</f>
        <v>8.5</v>
      </c>
      <c r="C30" s="102">
        <f>9+1</f>
        <v>10</v>
      </c>
      <c r="D30" s="102">
        <v>10</v>
      </c>
      <c r="E30" s="102">
        <v>10</v>
      </c>
      <c r="F30" s="102">
        <v>9</v>
      </c>
      <c r="G30" s="131">
        <v>10</v>
      </c>
      <c r="H30" s="131">
        <v>8</v>
      </c>
      <c r="I30" s="131">
        <v>8</v>
      </c>
      <c r="J30" s="131">
        <v>8</v>
      </c>
      <c r="K30" s="131">
        <v>8</v>
      </c>
      <c r="L30" s="131">
        <v>8</v>
      </c>
      <c r="M30" s="131">
        <v>7</v>
      </c>
      <c r="N30" s="132">
        <f>SUM(B30,C30,D30,E30,F30,G30,H30,I30,J30,K30,L30,M30)/12</f>
        <v>8.7083333333333339</v>
      </c>
      <c r="O30" s="136"/>
    </row>
    <row r="31" spans="1:15" x14ac:dyDescent="0.25">
      <c r="A31" s="102" t="s">
        <v>71</v>
      </c>
      <c r="B31" s="131"/>
      <c r="C31" s="131"/>
      <c r="D31" s="131"/>
      <c r="E31" s="131"/>
      <c r="F31" s="131"/>
      <c r="G31" s="131"/>
      <c r="H31" s="102"/>
      <c r="I31" s="131"/>
      <c r="J31" s="131"/>
      <c r="K31" s="131"/>
      <c r="L31" s="131"/>
      <c r="M31" s="131"/>
      <c r="N31" s="103"/>
      <c r="O31" s="136"/>
    </row>
    <row r="33" spans="1:15" s="1" customFormat="1" x14ac:dyDescent="0.25">
      <c r="A33" s="196" t="s">
        <v>152</v>
      </c>
      <c r="B33" s="205">
        <v>4</v>
      </c>
      <c r="C33" s="200">
        <v>1</v>
      </c>
      <c r="D33" s="200">
        <v>1</v>
      </c>
      <c r="E33" s="200">
        <v>0</v>
      </c>
      <c r="F33" s="200">
        <v>3</v>
      </c>
      <c r="G33" s="200">
        <v>2</v>
      </c>
      <c r="H33" s="200">
        <v>3</v>
      </c>
      <c r="I33" s="200">
        <v>2</v>
      </c>
      <c r="J33" s="200">
        <v>1</v>
      </c>
      <c r="K33" s="200">
        <v>0</v>
      </c>
      <c r="L33" s="200">
        <v>0</v>
      </c>
      <c r="M33" s="200">
        <v>2</v>
      </c>
      <c r="N33" s="16">
        <f>SUM(B33:M33)</f>
        <v>19</v>
      </c>
      <c r="O33" s="15"/>
    </row>
    <row r="34" spans="1:15" x14ac:dyDescent="0.25">
      <c r="A34" s="206"/>
      <c r="B34" s="207" t="s">
        <v>248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</row>
    <row r="35" spans="1:15" x14ac:dyDescent="0.25">
      <c r="B35" t="s">
        <v>135</v>
      </c>
    </row>
    <row r="36" spans="1:15" x14ac:dyDescent="0.25">
      <c r="A36" s="133" t="s">
        <v>73</v>
      </c>
      <c r="B36" s="133" t="s">
        <v>155</v>
      </c>
      <c r="C36" s="133">
        <v>1</v>
      </c>
      <c r="D36" s="133"/>
      <c r="E36" s="133"/>
      <c r="F36" s="133" t="s">
        <v>101</v>
      </c>
      <c r="G36" s="133">
        <v>1</v>
      </c>
      <c r="H36" s="133" t="s">
        <v>67</v>
      </c>
      <c r="I36" s="133"/>
      <c r="J36" s="133"/>
      <c r="K36" s="133"/>
      <c r="L36" s="133"/>
      <c r="M36" s="133" t="s">
        <v>156</v>
      </c>
      <c r="N36" s="133"/>
      <c r="O36" s="136"/>
    </row>
    <row r="37" spans="1:15" x14ac:dyDescent="0.25">
      <c r="B37" t="s">
        <v>135</v>
      </c>
    </row>
    <row r="39" spans="1:15" x14ac:dyDescent="0.25">
      <c r="A39" s="251" t="s">
        <v>393</v>
      </c>
      <c r="B39" s="251"/>
      <c r="C39" s="251"/>
      <c r="D39" s="251"/>
    </row>
    <row r="40" spans="1:15" s="1" customFormat="1" x14ac:dyDescent="0.25">
      <c r="A40" s="2"/>
      <c r="B40" s="3" t="s">
        <v>2</v>
      </c>
      <c r="C40" s="3" t="s">
        <v>3</v>
      </c>
      <c r="D40" s="3" t="s">
        <v>4</v>
      </c>
      <c r="E40" s="3" t="s">
        <v>5</v>
      </c>
      <c r="F40" s="3" t="s">
        <v>6</v>
      </c>
      <c r="G40" s="3" t="s">
        <v>7</v>
      </c>
      <c r="H40" s="3" t="s">
        <v>8</v>
      </c>
      <c r="I40" s="3" t="s">
        <v>9</v>
      </c>
      <c r="J40" s="3" t="s">
        <v>10</v>
      </c>
      <c r="K40" s="3" t="s">
        <v>11</v>
      </c>
      <c r="L40" s="3" t="s">
        <v>12</v>
      </c>
      <c r="M40" s="3" t="s">
        <v>13</v>
      </c>
      <c r="N40" s="4" t="s">
        <v>14</v>
      </c>
    </row>
    <row r="41" spans="1:15" s="1" customForma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5" s="1" customFormat="1" x14ac:dyDescent="0.25">
      <c r="A42" s="4" t="s">
        <v>15</v>
      </c>
      <c r="B42" s="5">
        <f>76-20</f>
        <v>56</v>
      </c>
      <c r="C42" s="3">
        <v>60</v>
      </c>
      <c r="D42" s="3">
        <v>61</v>
      </c>
      <c r="E42" s="3">
        <v>65</v>
      </c>
      <c r="F42" s="3">
        <v>67</v>
      </c>
      <c r="G42" s="6">
        <v>69</v>
      </c>
      <c r="H42" s="3">
        <v>69</v>
      </c>
      <c r="I42" s="3">
        <v>70</v>
      </c>
      <c r="J42" s="3">
        <v>73</v>
      </c>
      <c r="K42" s="3">
        <v>76</v>
      </c>
      <c r="L42" s="3">
        <v>80</v>
      </c>
      <c r="M42" s="3">
        <v>83</v>
      </c>
      <c r="N42" s="7">
        <f>SUM(B42:M42)/12</f>
        <v>69.083333333333329</v>
      </c>
    </row>
    <row r="43" spans="1:15" s="1" customFormat="1" x14ac:dyDescent="0.25">
      <c r="A43" s="4" t="s">
        <v>16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>
        <f>SUM(B43:M43)/12</f>
        <v>0</v>
      </c>
    </row>
    <row r="44" spans="1:15" s="1" customFormat="1" x14ac:dyDescent="0.25">
      <c r="A44" s="4" t="s">
        <v>17</v>
      </c>
      <c r="B44" s="10">
        <v>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9">
        <f>SUM(B44:M44)/12</f>
        <v>0</v>
      </c>
    </row>
    <row r="45" spans="1:15" s="1" customFormat="1" x14ac:dyDescent="0.25">
      <c r="A45" s="4"/>
      <c r="B45" s="10"/>
      <c r="C45" s="10"/>
      <c r="D45" s="10"/>
      <c r="E45" s="10"/>
      <c r="F45" s="10"/>
      <c r="G45" s="10"/>
      <c r="H45" s="8"/>
      <c r="I45" s="10"/>
      <c r="J45" s="10"/>
      <c r="K45" s="10"/>
      <c r="L45" s="10"/>
      <c r="M45" s="10"/>
      <c r="N45" s="11"/>
      <c r="O45" s="12"/>
    </row>
    <row r="46" spans="1:15" s="1" customFormat="1" x14ac:dyDescent="0.25">
      <c r="A46" s="2" t="s">
        <v>269</v>
      </c>
      <c r="B46" s="3">
        <f>B42+(B44*1.5)+(B43*0.8)</f>
        <v>56</v>
      </c>
      <c r="C46" s="3">
        <f>C42+(C44*1.5)+(C43*0.8)</f>
        <v>60</v>
      </c>
      <c r="D46" s="3">
        <f>D42+(D44*1.5)+(D43*0.8)</f>
        <v>61</v>
      </c>
      <c r="E46" s="3">
        <f>E42+(E44*1.5)+(E43*0.8)</f>
        <v>65</v>
      </c>
      <c r="F46" s="3">
        <f>F42+(F44*1.5)+(F43*0.8)</f>
        <v>67</v>
      </c>
      <c r="G46" s="3">
        <f t="shared" ref="G46:M46" si="2">G42+(G44*1.5)+(G43*0.8)</f>
        <v>69</v>
      </c>
      <c r="H46" s="3">
        <f t="shared" si="2"/>
        <v>69</v>
      </c>
      <c r="I46" s="3">
        <f t="shared" si="2"/>
        <v>70</v>
      </c>
      <c r="J46" s="3">
        <f t="shared" si="2"/>
        <v>73</v>
      </c>
      <c r="K46" s="3">
        <f t="shared" si="2"/>
        <v>76</v>
      </c>
      <c r="L46" s="3">
        <f t="shared" si="2"/>
        <v>80</v>
      </c>
      <c r="M46" s="3">
        <f t="shared" si="2"/>
        <v>83</v>
      </c>
      <c r="N46" s="9">
        <f>SUM(B46:M46)/12</f>
        <v>69.083333333333329</v>
      </c>
    </row>
    <row r="48" spans="1:15" x14ac:dyDescent="0.25">
      <c r="A48" s="130" t="s">
        <v>70</v>
      </c>
      <c r="B48" s="102">
        <v>8</v>
      </c>
      <c r="C48" s="102">
        <v>7</v>
      </c>
      <c r="D48" s="102">
        <v>7</v>
      </c>
      <c r="E48" s="102">
        <v>7</v>
      </c>
      <c r="F48" s="102">
        <v>7</v>
      </c>
      <c r="G48" s="131">
        <v>7</v>
      </c>
      <c r="H48" s="131">
        <v>7</v>
      </c>
      <c r="I48" s="131">
        <v>7</v>
      </c>
      <c r="J48" s="131">
        <v>7</v>
      </c>
      <c r="K48" s="131">
        <v>6</v>
      </c>
      <c r="L48" s="131">
        <v>6</v>
      </c>
      <c r="M48" s="131">
        <v>6</v>
      </c>
      <c r="N48" s="132">
        <f>SUM(B48,C48,D48,E48,F48,G48,H48,I48,J48,K48,L48,M48)/12</f>
        <v>6.833333333333333</v>
      </c>
      <c r="O48" s="136"/>
    </row>
    <row r="49" spans="1:15" x14ac:dyDescent="0.25">
      <c r="A49" s="102" t="s">
        <v>71</v>
      </c>
      <c r="B49" s="131"/>
      <c r="C49" s="131"/>
      <c r="D49" s="131"/>
      <c r="E49" s="131"/>
      <c r="F49" s="131"/>
      <c r="G49" s="131"/>
      <c r="H49" s="102"/>
      <c r="I49" s="131"/>
      <c r="J49" s="131"/>
      <c r="K49" s="131"/>
      <c r="L49" s="131"/>
      <c r="M49" s="131"/>
      <c r="N49" s="103"/>
      <c r="O49" s="136"/>
    </row>
    <row r="51" spans="1:15" s="1" customFormat="1" x14ac:dyDescent="0.25">
      <c r="A51" s="196" t="s">
        <v>152</v>
      </c>
      <c r="B51" s="205">
        <v>0</v>
      </c>
      <c r="C51" s="200">
        <v>4</v>
      </c>
      <c r="D51" s="200">
        <v>1</v>
      </c>
      <c r="E51" s="200">
        <v>4</v>
      </c>
      <c r="F51" s="200">
        <v>2</v>
      </c>
      <c r="G51" s="200">
        <v>2</v>
      </c>
      <c r="H51" s="200">
        <v>0</v>
      </c>
      <c r="I51" s="200">
        <v>1</v>
      </c>
      <c r="J51" s="200">
        <v>3</v>
      </c>
      <c r="K51" s="200">
        <v>3</v>
      </c>
      <c r="L51" s="200">
        <v>4</v>
      </c>
      <c r="M51" s="200">
        <v>3</v>
      </c>
      <c r="N51" s="16">
        <f>SUM(B51:M51)</f>
        <v>27</v>
      </c>
      <c r="O51" s="15"/>
    </row>
    <row r="52" spans="1:15" x14ac:dyDescent="0.25">
      <c r="A52" s="206"/>
      <c r="B52" s="207" t="s">
        <v>143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</row>
    <row r="54" spans="1:15" x14ac:dyDescent="0.25">
      <c r="A54" s="133" t="s">
        <v>73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6"/>
    </row>
    <row r="55" spans="1:15" x14ac:dyDescent="0.25">
      <c r="A55" s="133"/>
      <c r="B55" s="133" t="s">
        <v>64</v>
      </c>
      <c r="C55" s="133"/>
      <c r="D55" s="133"/>
      <c r="E55" s="133"/>
      <c r="F55" s="133"/>
      <c r="G55" s="133"/>
      <c r="H55" s="133"/>
      <c r="I55" s="133"/>
      <c r="J55" s="133" t="s">
        <v>77</v>
      </c>
      <c r="K55" s="133"/>
      <c r="L55" s="133"/>
      <c r="M55" s="133"/>
      <c r="N55" s="133"/>
      <c r="O55" s="136"/>
    </row>
    <row r="57" spans="1:15" x14ac:dyDescent="0.25">
      <c r="A57" s="136"/>
      <c r="B57" s="136"/>
      <c r="C57" s="136"/>
      <c r="D57" s="136"/>
      <c r="E57" s="136"/>
      <c r="F57" s="136"/>
      <c r="G57" s="136"/>
      <c r="H57" s="136"/>
      <c r="I57" s="101"/>
      <c r="J57" s="136"/>
      <c r="K57" s="136"/>
      <c r="L57" s="136"/>
      <c r="M57" s="136"/>
      <c r="N57" s="136"/>
      <c r="O57" s="136"/>
    </row>
    <row r="58" spans="1:15" x14ac:dyDescent="0.25">
      <c r="A58" s="229" t="s">
        <v>239</v>
      </c>
      <c r="B58" s="229"/>
      <c r="C58" s="229"/>
      <c r="D58" s="229"/>
    </row>
    <row r="59" spans="1:15" s="1" customFormat="1" x14ac:dyDescent="0.25">
      <c r="A59" s="2"/>
      <c r="B59" s="3" t="s">
        <v>2</v>
      </c>
      <c r="C59" s="3" t="s">
        <v>3</v>
      </c>
      <c r="D59" s="3" t="s">
        <v>4</v>
      </c>
      <c r="E59" s="3" t="s">
        <v>5</v>
      </c>
      <c r="F59" s="3" t="s">
        <v>6</v>
      </c>
      <c r="G59" s="3" t="s">
        <v>7</v>
      </c>
      <c r="H59" s="3" t="s">
        <v>8</v>
      </c>
      <c r="I59" s="3" t="s">
        <v>9</v>
      </c>
      <c r="J59" s="3" t="s">
        <v>10</v>
      </c>
      <c r="K59" s="3" t="s">
        <v>11</v>
      </c>
      <c r="L59" s="3" t="s">
        <v>12</v>
      </c>
      <c r="M59" s="3" t="s">
        <v>13</v>
      </c>
      <c r="N59" s="4" t="s">
        <v>14</v>
      </c>
    </row>
    <row r="60" spans="1:15" s="1" customForma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5" s="1" customFormat="1" x14ac:dyDescent="0.25">
      <c r="A61" s="4" t="s">
        <v>15</v>
      </c>
      <c r="B61" s="5">
        <f>80-19+3</f>
        <v>64</v>
      </c>
      <c r="C61" s="3">
        <v>65</v>
      </c>
      <c r="D61" s="3">
        <v>66</v>
      </c>
      <c r="E61" s="3">
        <v>66</v>
      </c>
      <c r="F61" s="3">
        <v>69</v>
      </c>
      <c r="G61" s="6">
        <v>70</v>
      </c>
      <c r="H61" s="3">
        <v>73</v>
      </c>
      <c r="I61" s="3">
        <v>76</v>
      </c>
      <c r="J61" s="3">
        <v>77</v>
      </c>
      <c r="K61" s="3">
        <v>77</v>
      </c>
      <c r="L61" s="3">
        <v>77</v>
      </c>
      <c r="M61" s="3">
        <v>79</v>
      </c>
      <c r="N61" s="7">
        <f>SUM(B61:M61)/12</f>
        <v>71.583333333333329</v>
      </c>
    </row>
    <row r="62" spans="1:15" s="1" customFormat="1" x14ac:dyDescent="0.25">
      <c r="A62" s="4" t="s">
        <v>16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>
        <f>SUM(B62:M62)/12</f>
        <v>0</v>
      </c>
    </row>
    <row r="63" spans="1:15" s="1" customFormat="1" x14ac:dyDescent="0.25">
      <c r="A63" s="4" t="s">
        <v>17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9">
        <f>SUM(B63:M63)/12</f>
        <v>0</v>
      </c>
    </row>
    <row r="64" spans="1:15" s="1" customFormat="1" x14ac:dyDescent="0.25">
      <c r="A64" s="4"/>
      <c r="B64" s="10"/>
      <c r="C64" s="10"/>
      <c r="D64" s="10"/>
      <c r="E64" s="10"/>
      <c r="F64" s="10"/>
      <c r="G64" s="10"/>
      <c r="H64" s="8"/>
      <c r="I64" s="10"/>
      <c r="J64" s="10"/>
      <c r="K64" s="10"/>
      <c r="L64" s="10"/>
      <c r="M64" s="10"/>
      <c r="N64" s="11"/>
      <c r="O64" s="12"/>
    </row>
    <row r="65" spans="1:15" s="1" customFormat="1" x14ac:dyDescent="0.25">
      <c r="A65" s="2" t="s">
        <v>51</v>
      </c>
      <c r="B65" s="3">
        <f>B61+(B63*1.5)+(B62*0.8)</f>
        <v>64</v>
      </c>
      <c r="C65" s="3">
        <f>C61+(C63*1.5)+(C62*0.8)</f>
        <v>65</v>
      </c>
      <c r="D65" s="3">
        <f>D61+(D63*1.5)+(D62*0.8)</f>
        <v>66</v>
      </c>
      <c r="E65" s="3">
        <f>E61+(E63*1.5)+(E62*0.8)</f>
        <v>66</v>
      </c>
      <c r="F65" s="3">
        <f>F61+(F63*1.5)+(F62*0.8)</f>
        <v>69</v>
      </c>
      <c r="G65" s="3">
        <f t="shared" ref="G65:M65" si="3">G61+(G63*1.5)+(G62*0.8)</f>
        <v>70</v>
      </c>
      <c r="H65" s="3">
        <f t="shared" si="3"/>
        <v>73</v>
      </c>
      <c r="I65" s="3">
        <f t="shared" si="3"/>
        <v>76</v>
      </c>
      <c r="J65" s="3">
        <f t="shared" si="3"/>
        <v>77</v>
      </c>
      <c r="K65" s="3">
        <f t="shared" si="3"/>
        <v>77</v>
      </c>
      <c r="L65" s="3">
        <f t="shared" si="3"/>
        <v>77</v>
      </c>
      <c r="M65" s="3">
        <f t="shared" si="3"/>
        <v>79</v>
      </c>
      <c r="N65" s="9">
        <f>SUM(B65:M65)/12</f>
        <v>71.583333333333329</v>
      </c>
    </row>
    <row r="67" spans="1:15" x14ac:dyDescent="0.25">
      <c r="A67" s="130" t="s">
        <v>70</v>
      </c>
      <c r="B67" s="102">
        <f>7+1+0.5</f>
        <v>8.5</v>
      </c>
      <c r="C67" s="102">
        <f>9+1</f>
        <v>10</v>
      </c>
      <c r="D67" s="102">
        <v>10</v>
      </c>
      <c r="E67" s="102">
        <v>10</v>
      </c>
      <c r="F67" s="102">
        <v>9</v>
      </c>
      <c r="G67" s="131">
        <v>9</v>
      </c>
      <c r="H67" s="131">
        <v>7</v>
      </c>
      <c r="I67" s="131">
        <v>7</v>
      </c>
      <c r="J67" s="131">
        <v>7</v>
      </c>
      <c r="K67" s="131">
        <v>7</v>
      </c>
      <c r="L67" s="131">
        <v>7</v>
      </c>
      <c r="M67" s="131">
        <v>6</v>
      </c>
      <c r="N67" s="132">
        <f>SUM(B67,C67,D67,E67,F67,G67,H67,I67,J67,K67,L67,M67)/12</f>
        <v>8.125</v>
      </c>
      <c r="O67" s="136"/>
    </row>
    <row r="68" spans="1:15" x14ac:dyDescent="0.25">
      <c r="A68" s="102" t="s">
        <v>71</v>
      </c>
      <c r="B68" s="131"/>
      <c r="C68" s="131"/>
      <c r="D68" s="131"/>
      <c r="E68" s="131"/>
      <c r="F68" s="131"/>
      <c r="G68" s="131"/>
      <c r="H68" s="102"/>
      <c r="I68" s="131"/>
      <c r="J68" s="131"/>
      <c r="K68" s="131"/>
      <c r="L68" s="131"/>
      <c r="M68" s="131"/>
      <c r="N68" s="103"/>
      <c r="O68" s="136"/>
    </row>
    <row r="70" spans="1:15" s="1" customFormat="1" x14ac:dyDescent="0.25">
      <c r="A70" s="196" t="s">
        <v>152</v>
      </c>
      <c r="B70" s="205">
        <v>3</v>
      </c>
      <c r="C70" s="200">
        <v>1</v>
      </c>
      <c r="D70" s="200">
        <v>1</v>
      </c>
      <c r="E70" s="200">
        <v>0</v>
      </c>
      <c r="F70" s="200">
        <v>3</v>
      </c>
      <c r="G70" s="200">
        <v>1</v>
      </c>
      <c r="H70" s="200">
        <v>3</v>
      </c>
      <c r="I70" s="200">
        <v>3</v>
      </c>
      <c r="J70" s="200">
        <v>1</v>
      </c>
      <c r="K70" s="200">
        <v>0</v>
      </c>
      <c r="L70" s="200">
        <v>0</v>
      </c>
      <c r="M70" s="200">
        <v>2</v>
      </c>
      <c r="N70" s="16">
        <f>SUM(B70:M70)</f>
        <v>18</v>
      </c>
      <c r="O70" s="15"/>
    </row>
    <row r="71" spans="1:15" x14ac:dyDescent="0.25">
      <c r="A71" s="206"/>
      <c r="B71" s="207" t="s">
        <v>248</v>
      </c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</row>
    <row r="73" spans="1:15" x14ac:dyDescent="0.25">
      <c r="A73" s="133" t="s">
        <v>73</v>
      </c>
      <c r="B73" s="133" t="s">
        <v>155</v>
      </c>
      <c r="C73" s="133">
        <v>1</v>
      </c>
      <c r="D73" s="133"/>
      <c r="E73" s="133"/>
      <c r="F73" s="133" t="s">
        <v>101</v>
      </c>
      <c r="G73" s="133"/>
      <c r="H73" s="133" t="s">
        <v>67</v>
      </c>
      <c r="I73" s="133"/>
      <c r="J73" s="133"/>
      <c r="K73" s="133"/>
      <c r="L73" s="133"/>
      <c r="M73" s="133" t="s">
        <v>156</v>
      </c>
      <c r="N73" s="133"/>
      <c r="O73" s="136"/>
    </row>
    <row r="74" spans="1:15" x14ac:dyDescent="0.25">
      <c r="A74" s="136"/>
      <c r="B74" s="136"/>
      <c r="C74" s="136"/>
      <c r="D74" s="136"/>
      <c r="E74" s="136"/>
      <c r="F74" s="136"/>
      <c r="G74" s="136"/>
      <c r="H74" s="136"/>
      <c r="I74" s="101"/>
      <c r="J74" s="136"/>
      <c r="K74" s="136"/>
      <c r="L74" s="136"/>
      <c r="M74" s="136"/>
      <c r="N74" s="136"/>
      <c r="O74" s="136"/>
    </row>
    <row r="76" spans="1:15" x14ac:dyDescent="0.25">
      <c r="A76" s="189" t="s">
        <v>126</v>
      </c>
      <c r="B76" s="189"/>
      <c r="C76" s="189"/>
      <c r="D76" s="189"/>
    </row>
    <row r="77" spans="1:15" s="1" customFormat="1" x14ac:dyDescent="0.25">
      <c r="A77" s="2"/>
      <c r="B77" s="3" t="s">
        <v>2</v>
      </c>
      <c r="C77" s="3" t="s">
        <v>3</v>
      </c>
      <c r="D77" s="3" t="s">
        <v>4</v>
      </c>
      <c r="E77" s="3" t="s">
        <v>5</v>
      </c>
      <c r="F77" s="3" t="s">
        <v>6</v>
      </c>
      <c r="G77" s="3" t="s">
        <v>7</v>
      </c>
      <c r="H77" s="3" t="s">
        <v>8</v>
      </c>
      <c r="I77" s="3" t="s">
        <v>9</v>
      </c>
      <c r="J77" s="3" t="s">
        <v>10</v>
      </c>
      <c r="K77" s="3" t="s">
        <v>11</v>
      </c>
      <c r="L77" s="3" t="s">
        <v>12</v>
      </c>
      <c r="M77" s="3" t="s">
        <v>13</v>
      </c>
      <c r="N77" s="4" t="s">
        <v>14</v>
      </c>
    </row>
    <row r="78" spans="1:15" s="1" customForma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5" s="1" customFormat="1" x14ac:dyDescent="0.25">
      <c r="A79" s="4" t="s">
        <v>15</v>
      </c>
      <c r="B79" s="5">
        <f>84-22+4</f>
        <v>66</v>
      </c>
      <c r="C79" s="3">
        <v>67</v>
      </c>
      <c r="D79" s="3">
        <v>68</v>
      </c>
      <c r="E79" s="3">
        <v>68</v>
      </c>
      <c r="F79" s="3">
        <v>71</v>
      </c>
      <c r="G79" s="6">
        <v>72</v>
      </c>
      <c r="H79" s="3">
        <v>75</v>
      </c>
      <c r="I79" s="3">
        <v>78</v>
      </c>
      <c r="J79" s="3">
        <v>79</v>
      </c>
      <c r="K79" s="3">
        <v>79</v>
      </c>
      <c r="L79" s="3">
        <v>79</v>
      </c>
      <c r="M79" s="3">
        <v>82</v>
      </c>
      <c r="N79" s="7">
        <f>SUM(B79:M79)/12</f>
        <v>73.666666666666671</v>
      </c>
    </row>
    <row r="80" spans="1:15" s="1" customFormat="1" x14ac:dyDescent="0.25">
      <c r="A80" s="4" t="s">
        <v>16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9">
        <f>SUM(B80:M80)/12</f>
        <v>0</v>
      </c>
    </row>
    <row r="81" spans="1:15" s="1" customFormat="1" x14ac:dyDescent="0.25">
      <c r="A81" s="4" t="s">
        <v>17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9">
        <f>SUM(B81:M81)/12</f>
        <v>0</v>
      </c>
    </row>
    <row r="82" spans="1:15" s="1" customFormat="1" x14ac:dyDescent="0.25">
      <c r="A82" s="4"/>
      <c r="B82" s="10"/>
      <c r="C82" s="10"/>
      <c r="D82" s="10"/>
      <c r="E82" s="10"/>
      <c r="F82" s="10"/>
      <c r="G82" s="10"/>
      <c r="H82" s="8"/>
      <c r="I82" s="10"/>
      <c r="J82" s="10"/>
      <c r="K82" s="10"/>
      <c r="L82" s="10"/>
      <c r="M82" s="10"/>
      <c r="N82" s="11"/>
      <c r="O82" s="12"/>
    </row>
    <row r="83" spans="1:15" s="1" customFormat="1" x14ac:dyDescent="0.25">
      <c r="A83" s="2" t="s">
        <v>51</v>
      </c>
      <c r="B83" s="3">
        <f>B79+(B81*1.5)+(B80*0.8)</f>
        <v>66</v>
      </c>
      <c r="C83" s="3">
        <f>C79+(C81*1.5)+(C80*0.8)</f>
        <v>67</v>
      </c>
      <c r="D83" s="3">
        <f>D79+(D81*1.5)+(D80*0.8)</f>
        <v>68</v>
      </c>
      <c r="E83" s="3">
        <f>E79+(E81*1.5)+(E80*0.8)</f>
        <v>68</v>
      </c>
      <c r="F83" s="3">
        <f>F79+(F81*1.5)+(F80*0.8)</f>
        <v>71</v>
      </c>
      <c r="G83" s="3">
        <f t="shared" ref="G83:M83" si="4">G79+(G81*1.5)+(G80*0.8)</f>
        <v>72</v>
      </c>
      <c r="H83" s="3">
        <f t="shared" si="4"/>
        <v>75</v>
      </c>
      <c r="I83" s="3">
        <f t="shared" si="4"/>
        <v>78</v>
      </c>
      <c r="J83" s="3">
        <f t="shared" si="4"/>
        <v>79</v>
      </c>
      <c r="K83" s="3">
        <f t="shared" si="4"/>
        <v>79</v>
      </c>
      <c r="L83" s="3">
        <f t="shared" si="4"/>
        <v>79</v>
      </c>
      <c r="M83" s="3">
        <f t="shared" si="4"/>
        <v>82</v>
      </c>
      <c r="N83" s="9">
        <f>SUM(B83:M83)/12</f>
        <v>73.666666666666671</v>
      </c>
    </row>
    <row r="85" spans="1:15" x14ac:dyDescent="0.25">
      <c r="A85" s="130" t="s">
        <v>70</v>
      </c>
      <c r="B85" s="102">
        <f>8+1+0.5</f>
        <v>9.5</v>
      </c>
      <c r="C85" s="102">
        <f>10+1</f>
        <v>11</v>
      </c>
      <c r="D85" s="102">
        <v>11</v>
      </c>
      <c r="E85" s="102">
        <v>11</v>
      </c>
      <c r="F85" s="102">
        <v>10</v>
      </c>
      <c r="G85" s="131">
        <v>10</v>
      </c>
      <c r="H85" s="131">
        <v>8</v>
      </c>
      <c r="I85" s="131">
        <v>8</v>
      </c>
      <c r="J85" s="131">
        <v>8</v>
      </c>
      <c r="K85" s="131">
        <v>8</v>
      </c>
      <c r="L85" s="131">
        <v>8</v>
      </c>
      <c r="M85" s="131">
        <v>7</v>
      </c>
      <c r="N85" s="132">
        <f>SUM(B85,C85,D85,E85,F85,G85,H85,I85,J85,K85,L85,M85)/12</f>
        <v>9.125</v>
      </c>
      <c r="O85" s="136"/>
    </row>
    <row r="86" spans="1:15" x14ac:dyDescent="0.25">
      <c r="A86" s="102" t="s">
        <v>71</v>
      </c>
      <c r="B86" s="131"/>
      <c r="C86" s="131"/>
      <c r="D86" s="131"/>
      <c r="E86" s="131"/>
      <c r="F86" s="131"/>
      <c r="G86" s="131"/>
      <c r="H86" s="102"/>
      <c r="I86" s="131"/>
      <c r="J86" s="131"/>
      <c r="K86" s="131"/>
      <c r="L86" s="131"/>
      <c r="M86" s="131"/>
      <c r="N86" s="103"/>
      <c r="O86" s="136"/>
    </row>
    <row r="88" spans="1:15" s="1" customFormat="1" x14ac:dyDescent="0.25">
      <c r="A88" s="196" t="s">
        <v>152</v>
      </c>
      <c r="B88" s="205">
        <v>4</v>
      </c>
      <c r="C88" s="200">
        <v>1</v>
      </c>
      <c r="D88" s="200">
        <v>1</v>
      </c>
      <c r="E88" s="200">
        <v>0</v>
      </c>
      <c r="F88" s="200">
        <v>3</v>
      </c>
      <c r="G88" s="200">
        <v>1</v>
      </c>
      <c r="H88" s="200">
        <v>3</v>
      </c>
      <c r="I88" s="200">
        <v>3</v>
      </c>
      <c r="J88" s="200">
        <v>1</v>
      </c>
      <c r="K88" s="200"/>
      <c r="L88" s="200"/>
      <c r="M88" s="200">
        <v>3</v>
      </c>
      <c r="N88" s="16">
        <f>SUM(B88:M88)</f>
        <v>20</v>
      </c>
      <c r="O88" s="15"/>
    </row>
    <row r="89" spans="1:15" x14ac:dyDescent="0.25">
      <c r="A89" s="206"/>
      <c r="B89" s="207" t="s">
        <v>63</v>
      </c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</row>
    <row r="91" spans="1:15" x14ac:dyDescent="0.25">
      <c r="A91" s="133" t="s">
        <v>73</v>
      </c>
      <c r="B91" s="133" t="s">
        <v>155</v>
      </c>
      <c r="C91" s="133">
        <v>1</v>
      </c>
      <c r="D91" s="133"/>
      <c r="E91" s="133"/>
      <c r="F91" s="133" t="s">
        <v>101</v>
      </c>
      <c r="G91" s="133"/>
      <c r="H91" s="133" t="s">
        <v>67</v>
      </c>
      <c r="I91" s="133"/>
      <c r="J91" s="133"/>
      <c r="K91" s="133"/>
      <c r="L91" s="133"/>
      <c r="M91" s="133" t="s">
        <v>156</v>
      </c>
      <c r="N91" s="133"/>
      <c r="O91" s="136"/>
    </row>
    <row r="93" spans="1:15" x14ac:dyDescent="0.25">
      <c r="A93" s="35" t="s">
        <v>39</v>
      </c>
      <c r="B93" s="72"/>
      <c r="C93" s="72"/>
      <c r="D93" s="7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</row>
    <row r="94" spans="1:15" x14ac:dyDescent="0.25">
      <c r="A94" s="69"/>
      <c r="B94" s="70" t="s">
        <v>2</v>
      </c>
      <c r="C94" s="70" t="s">
        <v>3</v>
      </c>
      <c r="D94" s="70" t="s">
        <v>4</v>
      </c>
      <c r="E94" s="70" t="s">
        <v>5</v>
      </c>
      <c r="F94" s="70" t="s">
        <v>6</v>
      </c>
      <c r="G94" s="70" t="s">
        <v>7</v>
      </c>
      <c r="H94" s="70" t="s">
        <v>8</v>
      </c>
      <c r="I94" s="70" t="s">
        <v>9</v>
      </c>
      <c r="J94" s="70" t="s">
        <v>10</v>
      </c>
      <c r="K94" s="70" t="s">
        <v>11</v>
      </c>
      <c r="L94" s="70" t="s">
        <v>12</v>
      </c>
      <c r="M94" s="70" t="s">
        <v>13</v>
      </c>
      <c r="N94" s="71" t="s">
        <v>14</v>
      </c>
      <c r="O94" s="62"/>
    </row>
    <row r="95" spans="1:15" x14ac:dyDescent="0.2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62"/>
    </row>
    <row r="96" spans="1:15" x14ac:dyDescent="0.25">
      <c r="A96" s="71" t="s">
        <v>15</v>
      </c>
      <c r="B96" s="28">
        <f>56+2+0.5+0.5</f>
        <v>59</v>
      </c>
      <c r="C96" s="54">
        <f>60+1+2</f>
        <v>63</v>
      </c>
      <c r="D96" s="54">
        <f>63+2+2-1</f>
        <v>66</v>
      </c>
      <c r="E96" s="54">
        <f>66+1</f>
        <v>67</v>
      </c>
      <c r="F96" s="54">
        <f>68+0.5</f>
        <v>68.5</v>
      </c>
      <c r="G96" s="215">
        <v>69</v>
      </c>
      <c r="H96" s="54">
        <v>71</v>
      </c>
      <c r="I96" s="54">
        <f>71+5-1</f>
        <v>75</v>
      </c>
      <c r="J96" s="54">
        <f>75+2+0.25</f>
        <v>77.25</v>
      </c>
      <c r="K96" s="54">
        <f>78+1-2-0.5</f>
        <v>76.5</v>
      </c>
      <c r="L96" s="54">
        <f>76+4</f>
        <v>80</v>
      </c>
      <c r="M96" s="3">
        <v>80</v>
      </c>
      <c r="N96" s="7">
        <f>SUM(B96:M96)/12</f>
        <v>71.020833333333329</v>
      </c>
      <c r="O96" s="62"/>
    </row>
    <row r="97" spans="1:15" x14ac:dyDescent="0.25">
      <c r="A97" s="71" t="s">
        <v>16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8"/>
      <c r="N97" s="9">
        <f>SUM(B97:M97)/12</f>
        <v>0</v>
      </c>
      <c r="O97" s="62"/>
    </row>
    <row r="98" spans="1:15" x14ac:dyDescent="0.25">
      <c r="A98" s="71" t="s">
        <v>17</v>
      </c>
      <c r="B98" s="30">
        <f>1+1+0.5</f>
        <v>2.5</v>
      </c>
      <c r="C98" s="30">
        <f>2+1</f>
        <v>3</v>
      </c>
      <c r="D98" s="30">
        <v>1</v>
      </c>
      <c r="E98" s="30"/>
      <c r="F98" s="30"/>
      <c r="G98" s="30"/>
      <c r="H98" s="30"/>
      <c r="I98" s="30"/>
      <c r="J98" s="30"/>
      <c r="K98" s="30"/>
      <c r="L98" s="30"/>
      <c r="M98" s="10"/>
      <c r="N98" s="9">
        <f>SUM(B98:M98)/12</f>
        <v>0.54166666666666663</v>
      </c>
      <c r="O98" s="62"/>
    </row>
    <row r="99" spans="1:15" x14ac:dyDescent="0.25">
      <c r="A99" s="71"/>
      <c r="B99" s="10"/>
      <c r="C99" s="10"/>
      <c r="D99" s="10"/>
      <c r="E99" s="10"/>
      <c r="F99" s="10"/>
      <c r="G99" s="10"/>
      <c r="H99" s="8"/>
      <c r="I99" s="10"/>
      <c r="J99" s="10"/>
      <c r="K99" s="10"/>
      <c r="L99" s="10"/>
      <c r="M99" s="10"/>
      <c r="N99" s="11"/>
      <c r="O99" s="63"/>
    </row>
    <row r="100" spans="1:15" x14ac:dyDescent="0.25">
      <c r="A100" s="69" t="s">
        <v>18</v>
      </c>
      <c r="B100" s="3">
        <f>B96+(B98*1.5)+(B97*0.8)</f>
        <v>62.75</v>
      </c>
      <c r="C100" s="3">
        <f>C96+(C98*1.5)+(C97*0.8)</f>
        <v>67.5</v>
      </c>
      <c r="D100" s="3">
        <f>D96+(D98*1.5)+(D97*0.8)</f>
        <v>67.5</v>
      </c>
      <c r="E100" s="3">
        <f>E96+(E98*1.5)+(E97*0.8)</f>
        <v>67</v>
      </c>
      <c r="F100" s="3">
        <f>F96+(F98*1.5)+(F97*0.8)</f>
        <v>68.5</v>
      </c>
      <c r="G100" s="3">
        <f t="shared" ref="G100:M100" si="5">G96+(G98*1.5)+(G97*0.8)</f>
        <v>69</v>
      </c>
      <c r="H100" s="3">
        <f t="shared" si="5"/>
        <v>71</v>
      </c>
      <c r="I100" s="3">
        <f t="shared" si="5"/>
        <v>75</v>
      </c>
      <c r="J100" s="3">
        <f t="shared" si="5"/>
        <v>77.25</v>
      </c>
      <c r="K100" s="3">
        <f t="shared" si="5"/>
        <v>76.5</v>
      </c>
      <c r="L100" s="3">
        <f t="shared" si="5"/>
        <v>80</v>
      </c>
      <c r="M100" s="3">
        <f t="shared" si="5"/>
        <v>80</v>
      </c>
      <c r="N100" s="9">
        <f>SUM(B100:M100)/12</f>
        <v>71.833333333333329</v>
      </c>
      <c r="O100" s="62"/>
    </row>
    <row r="101" spans="1:15" x14ac:dyDescent="0.25">
      <c r="A101" s="203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9"/>
      <c r="O101" s="77"/>
    </row>
    <row r="102" spans="1:15" x14ac:dyDescent="0.25">
      <c r="A102" s="130" t="s">
        <v>70</v>
      </c>
      <c r="B102" s="230">
        <v>11.5</v>
      </c>
      <c r="C102" s="230">
        <v>12</v>
      </c>
      <c r="D102" s="230">
        <v>12</v>
      </c>
      <c r="E102" s="230">
        <v>12</v>
      </c>
      <c r="F102" s="230">
        <v>12</v>
      </c>
      <c r="G102" s="231">
        <v>12</v>
      </c>
      <c r="H102" s="231">
        <v>12</v>
      </c>
      <c r="I102" s="231">
        <f>12-2</f>
        <v>10</v>
      </c>
      <c r="J102" s="231">
        <f>10-1+1</f>
        <v>10</v>
      </c>
      <c r="K102" s="231">
        <f>10-1</f>
        <v>9</v>
      </c>
      <c r="L102" s="131">
        <f>9-3+0.5</f>
        <v>6.5</v>
      </c>
      <c r="M102" s="131">
        <v>7</v>
      </c>
      <c r="N102" s="132">
        <f>SUM(B102,C102,D102,E102,F102,G102,H102,I102,J102,K102,L102,M102)/12</f>
        <v>10.5</v>
      </c>
      <c r="O102" s="136"/>
    </row>
    <row r="103" spans="1:15" x14ac:dyDescent="0.25">
      <c r="A103" s="102" t="s">
        <v>71</v>
      </c>
      <c r="B103" s="231"/>
      <c r="C103" s="231"/>
      <c r="D103" s="231"/>
      <c r="E103" s="231"/>
      <c r="F103" s="231"/>
      <c r="G103" s="231"/>
      <c r="H103" s="230"/>
      <c r="I103" s="231"/>
      <c r="J103" s="231"/>
      <c r="K103" s="231"/>
      <c r="L103" s="131"/>
      <c r="M103" s="131"/>
      <c r="N103" s="103"/>
      <c r="O103" s="136"/>
    </row>
    <row r="104" spans="1:15" s="23" customFormat="1" ht="15.75" customHeight="1" x14ac:dyDescent="0.25">
      <c r="A104" s="208"/>
      <c r="B104" s="209"/>
      <c r="C104" s="209"/>
      <c r="D104" s="209"/>
      <c r="E104" s="209"/>
      <c r="F104" s="209"/>
      <c r="G104" s="209"/>
      <c r="H104" s="110"/>
      <c r="I104" s="209"/>
      <c r="J104" s="209"/>
      <c r="K104" s="209"/>
      <c r="L104" s="209"/>
      <c r="M104" s="209"/>
      <c r="N104" s="211"/>
      <c r="O104" s="210"/>
    </row>
    <row r="105" spans="1:15" x14ac:dyDescent="0.25">
      <c r="A105" s="214" t="s">
        <v>153</v>
      </c>
      <c r="B105" s="212">
        <v>7</v>
      </c>
      <c r="C105" s="213">
        <v>3</v>
      </c>
      <c r="D105" s="213">
        <v>2</v>
      </c>
      <c r="E105" s="213"/>
      <c r="F105" s="213">
        <v>2</v>
      </c>
      <c r="G105" s="213"/>
      <c r="H105" s="213">
        <v>2</v>
      </c>
      <c r="I105" s="213">
        <v>5</v>
      </c>
      <c r="J105" s="213">
        <v>3</v>
      </c>
      <c r="K105" s="213">
        <v>1</v>
      </c>
      <c r="L105" s="213">
        <v>4</v>
      </c>
      <c r="M105" s="213"/>
      <c r="N105" s="82">
        <v>7</v>
      </c>
      <c r="O105" s="62"/>
    </row>
    <row r="106" spans="1:15" x14ac:dyDescent="0.25">
      <c r="B106" s="43" t="s">
        <v>148</v>
      </c>
      <c r="C106" s="43"/>
      <c r="F106" t="s">
        <v>245</v>
      </c>
      <c r="H106" s="43"/>
      <c r="I106" s="43"/>
      <c r="J106" s="43" t="s">
        <v>246</v>
      </c>
      <c r="K106" s="43"/>
      <c r="L106" s="43"/>
      <c r="M106" s="43"/>
      <c r="N106" s="43"/>
    </row>
    <row r="107" spans="1:15" x14ac:dyDescent="0.25">
      <c r="B107" s="43" t="s">
        <v>149</v>
      </c>
      <c r="C107" s="43" t="s">
        <v>151</v>
      </c>
      <c r="H107" s="43" t="s">
        <v>75</v>
      </c>
      <c r="I107" s="43"/>
      <c r="J107" s="43" t="s">
        <v>247</v>
      </c>
      <c r="K107" s="43" t="s">
        <v>244</v>
      </c>
      <c r="L107" s="43"/>
      <c r="M107" s="43"/>
      <c r="N107" s="43"/>
    </row>
    <row r="108" spans="1:15" x14ac:dyDescent="0.25">
      <c r="B108" s="43" t="s">
        <v>147</v>
      </c>
      <c r="C108" s="43" t="s">
        <v>136</v>
      </c>
    </row>
    <row r="109" spans="1:15" x14ac:dyDescent="0.25">
      <c r="B109" s="43" t="s">
        <v>150</v>
      </c>
      <c r="C109" s="43"/>
    </row>
    <row r="110" spans="1:15" x14ac:dyDescent="0.25">
      <c r="A110" s="133" t="s">
        <v>73</v>
      </c>
      <c r="B110" s="133" t="s">
        <v>74</v>
      </c>
      <c r="C110" s="133"/>
      <c r="D110" s="133"/>
      <c r="E110" s="133"/>
      <c r="F110" s="133"/>
      <c r="G110" s="133"/>
      <c r="H110" s="133"/>
      <c r="I110" s="133">
        <v>0</v>
      </c>
      <c r="J110" s="133"/>
      <c r="K110" s="133"/>
      <c r="L110" s="133" t="s">
        <v>154</v>
      </c>
      <c r="M110" s="133">
        <v>1</v>
      </c>
      <c r="N110" s="133"/>
      <c r="O110" s="136"/>
    </row>
    <row r="111" spans="1:15" x14ac:dyDescent="0.25">
      <c r="A111" s="216"/>
      <c r="B111" s="217"/>
      <c r="C111" s="216"/>
      <c r="D111" s="216"/>
      <c r="E111" s="216"/>
      <c r="F111" s="216"/>
      <c r="G111" s="216"/>
      <c r="H111" s="216"/>
      <c r="I111" s="133" t="s">
        <v>221</v>
      </c>
      <c r="J111" s="133" t="s">
        <v>53</v>
      </c>
      <c r="K111" s="133" t="s">
        <v>77</v>
      </c>
      <c r="L111" s="133" t="s">
        <v>78</v>
      </c>
      <c r="M111" s="216"/>
      <c r="N111" s="21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workbookViewId="0">
      <selection activeCell="B17" sqref="B17:M17"/>
    </sheetView>
  </sheetViews>
  <sheetFormatPr defaultRowHeight="15" x14ac:dyDescent="0.25"/>
  <sheetData>
    <row r="1" spans="1:15" x14ac:dyDescent="0.25">
      <c r="A1" s="155" t="s">
        <v>396</v>
      </c>
    </row>
    <row r="2" spans="1:15" x14ac:dyDescent="0.25">
      <c r="A2" s="155"/>
    </row>
    <row r="3" spans="1:15" ht="15.75" customHeight="1" x14ac:dyDescent="0.25">
      <c r="A3" s="255" t="s">
        <v>374</v>
      </c>
      <c r="B3" s="83"/>
      <c r="C3" s="83"/>
      <c r="D3" s="83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x14ac:dyDescent="0.25">
      <c r="A4" s="140" t="s">
        <v>68</v>
      </c>
      <c r="B4" s="70" t="s">
        <v>2</v>
      </c>
      <c r="C4" s="70" t="s">
        <v>3</v>
      </c>
      <c r="D4" s="70" t="s">
        <v>4</v>
      </c>
      <c r="E4" s="70" t="s">
        <v>5</v>
      </c>
      <c r="F4" s="70" t="s">
        <v>6</v>
      </c>
      <c r="G4" s="70" t="s">
        <v>7</v>
      </c>
      <c r="H4" s="70" t="s">
        <v>8</v>
      </c>
      <c r="I4" s="70" t="s">
        <v>9</v>
      </c>
      <c r="J4" s="70" t="s">
        <v>10</v>
      </c>
      <c r="K4" s="70" t="s">
        <v>11</v>
      </c>
      <c r="L4" s="70" t="s">
        <v>12</v>
      </c>
      <c r="M4" s="70" t="s">
        <v>13</v>
      </c>
      <c r="N4" s="71" t="s">
        <v>14</v>
      </c>
      <c r="O4" s="62"/>
    </row>
    <row r="5" spans="1:1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62"/>
    </row>
    <row r="6" spans="1:15" x14ac:dyDescent="0.25">
      <c r="A6" s="71" t="s">
        <v>15</v>
      </c>
      <c r="B6" s="276">
        <v>46.5</v>
      </c>
      <c r="C6" s="277">
        <v>47</v>
      </c>
      <c r="D6" s="277">
        <f>47+1</f>
        <v>48</v>
      </c>
      <c r="E6" s="277">
        <f>48+1</f>
        <v>49</v>
      </c>
      <c r="F6" s="277">
        <v>49</v>
      </c>
      <c r="G6" s="278">
        <f>50+1</f>
        <v>51</v>
      </c>
      <c r="H6" s="37">
        <f>51+3</f>
        <v>54</v>
      </c>
      <c r="I6" s="37">
        <v>56</v>
      </c>
      <c r="J6" s="37">
        <v>61</v>
      </c>
      <c r="K6" s="37">
        <v>65</v>
      </c>
      <c r="L6" s="37">
        <v>65</v>
      </c>
      <c r="M6" s="3">
        <v>66</v>
      </c>
      <c r="N6" s="7">
        <f>SUM(B6:M6)/12</f>
        <v>54.791666666666664</v>
      </c>
      <c r="O6" s="62"/>
    </row>
    <row r="7" spans="1:15" x14ac:dyDescent="0.25">
      <c r="A7" s="71" t="s">
        <v>16</v>
      </c>
      <c r="B7" s="279"/>
      <c r="C7" s="279"/>
      <c r="D7" s="279"/>
      <c r="E7" s="279"/>
      <c r="F7" s="279"/>
      <c r="G7" s="279"/>
      <c r="H7" s="39"/>
      <c r="I7" s="39"/>
      <c r="J7" s="39"/>
      <c r="K7" s="39"/>
      <c r="L7" s="39"/>
      <c r="M7" s="8">
        <v>0</v>
      </c>
      <c r="N7" s="9">
        <f>SUM(B7:M7)/12</f>
        <v>0</v>
      </c>
      <c r="O7" s="62"/>
    </row>
    <row r="8" spans="1:15" x14ac:dyDescent="0.25">
      <c r="A8" s="71" t="s">
        <v>17</v>
      </c>
      <c r="B8" s="280"/>
      <c r="C8" s="280"/>
      <c r="D8" s="280"/>
      <c r="E8" s="279">
        <v>1</v>
      </c>
      <c r="F8" s="279">
        <v>1</v>
      </c>
      <c r="G8" s="279">
        <v>0.5</v>
      </c>
      <c r="H8" s="40">
        <f>1+1</f>
        <v>2</v>
      </c>
      <c r="I8" s="40"/>
      <c r="J8" s="40"/>
      <c r="K8" s="40"/>
      <c r="L8" s="40"/>
      <c r="M8" s="10"/>
      <c r="N8" s="9">
        <f>SUM(B8:M8)/12</f>
        <v>0.375</v>
      </c>
      <c r="O8" s="62"/>
    </row>
    <row r="9" spans="1:15" x14ac:dyDescent="0.25">
      <c r="A9" s="71"/>
      <c r="B9" s="10"/>
      <c r="C9" s="10"/>
      <c r="D9" s="10"/>
      <c r="E9" s="10"/>
      <c r="F9" s="10"/>
      <c r="G9" s="10"/>
      <c r="H9" s="8"/>
      <c r="I9" s="10"/>
      <c r="J9" s="10"/>
      <c r="K9" s="10"/>
      <c r="L9" s="10"/>
      <c r="M9" s="10"/>
      <c r="N9" s="11"/>
      <c r="O9" s="63"/>
    </row>
    <row r="10" spans="1:15" x14ac:dyDescent="0.25">
      <c r="A10" s="69" t="s">
        <v>18</v>
      </c>
      <c r="B10" s="3">
        <f>B6+(B8*1.5)+(B7*0.8)</f>
        <v>46.5</v>
      </c>
      <c r="C10" s="3">
        <f>C6+(C8*1.5)+(C7*0.8)</f>
        <v>47</v>
      </c>
      <c r="D10" s="3">
        <f>D6+(D8*1.5)+(D7*0.8)</f>
        <v>48</v>
      </c>
      <c r="E10" s="3">
        <f>E6+(E8*1.5)+(E7*0.8)</f>
        <v>50.5</v>
      </c>
      <c r="F10" s="3">
        <f>F6+(F8*1.5)+(F7*0.8)</f>
        <v>50.5</v>
      </c>
      <c r="G10" s="3">
        <f t="shared" ref="G10:M10" si="0">G6+(G8*1.5)+(G7*0.8)</f>
        <v>51.75</v>
      </c>
      <c r="H10" s="3">
        <f t="shared" si="0"/>
        <v>57</v>
      </c>
      <c r="I10" s="3">
        <f t="shared" si="0"/>
        <v>56</v>
      </c>
      <c r="J10" s="3">
        <f t="shared" si="0"/>
        <v>61</v>
      </c>
      <c r="K10" s="3">
        <f t="shared" si="0"/>
        <v>65</v>
      </c>
      <c r="L10" s="3">
        <f t="shared" si="0"/>
        <v>65</v>
      </c>
      <c r="M10" s="3">
        <f t="shared" si="0"/>
        <v>66</v>
      </c>
      <c r="N10" s="9">
        <f>SUM(B10:M10)/12</f>
        <v>55.354166666666664</v>
      </c>
      <c r="O10" s="62"/>
    </row>
    <row r="11" spans="1:15" x14ac:dyDescent="0.25">
      <c r="A11" s="67" t="s">
        <v>19</v>
      </c>
      <c r="B11" s="201">
        <v>1</v>
      </c>
      <c r="C11">
        <v>0</v>
      </c>
      <c r="D11">
        <v>1</v>
      </c>
      <c r="E11" s="202">
        <v>2</v>
      </c>
      <c r="F11" s="202">
        <v>0</v>
      </c>
      <c r="G11" s="202">
        <v>2</v>
      </c>
      <c r="H11" s="202">
        <v>5</v>
      </c>
      <c r="I11" s="202">
        <v>0</v>
      </c>
      <c r="J11" s="202">
        <v>5</v>
      </c>
      <c r="K11" s="202">
        <v>4</v>
      </c>
      <c r="L11" s="202">
        <v>0</v>
      </c>
      <c r="M11" s="202">
        <v>1</v>
      </c>
      <c r="N11" s="68">
        <f>SUM(B11:M11)</f>
        <v>21</v>
      </c>
      <c r="O11" s="62"/>
    </row>
    <row r="12" spans="1:15" x14ac:dyDescent="0.25">
      <c r="A12" s="75"/>
      <c r="B12" s="202" t="s">
        <v>397</v>
      </c>
      <c r="C12" s="202"/>
      <c r="E12" s="202">
        <v>-110112</v>
      </c>
      <c r="F12" s="202"/>
      <c r="G12" s="50" t="s">
        <v>398</v>
      </c>
      <c r="H12" s="202">
        <v>-210312</v>
      </c>
      <c r="I12" s="202"/>
      <c r="J12" s="202"/>
      <c r="K12" s="202"/>
      <c r="L12" s="202"/>
      <c r="M12" s="202"/>
      <c r="N12" s="74"/>
      <c r="O12" s="77"/>
    </row>
    <row r="13" spans="1:15" x14ac:dyDescent="0.25">
      <c r="A13" s="75"/>
      <c r="B13" s="202"/>
      <c r="C13" s="202"/>
      <c r="E13" s="202"/>
      <c r="F13" s="202"/>
      <c r="G13" s="50"/>
      <c r="H13" s="202"/>
      <c r="I13" s="202"/>
      <c r="J13" s="202"/>
      <c r="K13" s="202"/>
      <c r="L13" s="202"/>
      <c r="M13" s="202"/>
      <c r="N13" s="74"/>
      <c r="O13" s="77"/>
    </row>
    <row r="14" spans="1:15" x14ac:dyDescent="0.25">
      <c r="A14" s="251" t="s">
        <v>423</v>
      </c>
      <c r="B14" s="251"/>
      <c r="C14" s="251"/>
      <c r="D14" s="251"/>
    </row>
    <row r="15" spans="1:15" s="1" customFormat="1" x14ac:dyDescent="0.25">
      <c r="A15" s="140" t="s">
        <v>68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4" t="s">
        <v>14</v>
      </c>
    </row>
    <row r="16" spans="1:15" s="1" customForma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5" s="1" customFormat="1" x14ac:dyDescent="0.25">
      <c r="A17" s="4" t="s">
        <v>15</v>
      </c>
      <c r="B17" s="5"/>
      <c r="C17" s="3"/>
      <c r="D17" s="3"/>
      <c r="E17" s="3"/>
      <c r="F17" s="3"/>
      <c r="G17" s="6"/>
      <c r="H17" s="3"/>
      <c r="I17" s="3"/>
      <c r="J17" s="3"/>
      <c r="K17" s="3"/>
      <c r="L17" s="3"/>
      <c r="M17" s="3"/>
      <c r="N17" s="7">
        <f>SUM(B17:M17)/12</f>
        <v>0</v>
      </c>
    </row>
    <row r="18" spans="1:15" s="1" customFormat="1" x14ac:dyDescent="0.25">
      <c r="A18" s="4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>
        <f>SUM(B18:M18)/12</f>
        <v>0</v>
      </c>
    </row>
    <row r="19" spans="1:15" s="1" customFormat="1" x14ac:dyDescent="0.25">
      <c r="A19" s="4" t="s">
        <v>17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9">
        <f>SUM(B19:M19)/12</f>
        <v>0</v>
      </c>
    </row>
    <row r="20" spans="1:15" s="1" customFormat="1" x14ac:dyDescent="0.25">
      <c r="A20" s="4"/>
      <c r="B20" s="10"/>
      <c r="C20" s="10"/>
      <c r="D20" s="10"/>
      <c r="E20" s="10"/>
      <c r="F20" s="10"/>
      <c r="G20" s="10"/>
      <c r="H20" s="8"/>
      <c r="I20" s="10"/>
      <c r="J20" s="10"/>
      <c r="K20" s="10"/>
      <c r="L20" s="10"/>
      <c r="M20" s="10"/>
      <c r="N20" s="11"/>
      <c r="O20" s="12"/>
    </row>
    <row r="21" spans="1:15" s="1" customFormat="1" x14ac:dyDescent="0.25">
      <c r="A21" s="2" t="s">
        <v>51</v>
      </c>
      <c r="B21" s="3">
        <f>B17+(B19*1.5)+(B18*0.8)</f>
        <v>0</v>
      </c>
      <c r="C21" s="3">
        <f>C17+(C19*1.5)+(C18*0.8)</f>
        <v>0</v>
      </c>
      <c r="D21" s="3">
        <f>D17+(D19*1.5)+(D18*0.8)</f>
        <v>0</v>
      </c>
      <c r="E21" s="3">
        <f>E17+(E19*1.5)+(E18*0.8)</f>
        <v>0</v>
      </c>
      <c r="F21" s="3">
        <f>F17+(F19*1.5)+(F18*0.8)</f>
        <v>0</v>
      </c>
      <c r="G21" s="3">
        <f t="shared" ref="G21:M21" si="1">G17+(G19*1.5)+(G18*0.8)</f>
        <v>0</v>
      </c>
      <c r="H21" s="3">
        <f t="shared" si="1"/>
        <v>0</v>
      </c>
      <c r="I21" s="3">
        <f t="shared" si="1"/>
        <v>0</v>
      </c>
      <c r="J21" s="3">
        <f t="shared" si="1"/>
        <v>0</v>
      </c>
      <c r="K21" s="3">
        <f t="shared" si="1"/>
        <v>0</v>
      </c>
      <c r="L21" s="3">
        <f t="shared" si="1"/>
        <v>0</v>
      </c>
      <c r="M21" s="3">
        <f t="shared" si="1"/>
        <v>0</v>
      </c>
      <c r="N21" s="9">
        <f>SUM(B21:M21)/12</f>
        <v>0</v>
      </c>
    </row>
    <row r="22" spans="1:15" s="1" customFormat="1" x14ac:dyDescent="0.25">
      <c r="A22" s="13" t="s">
        <v>19</v>
      </c>
      <c r="B22" s="14">
        <v>3</v>
      </c>
      <c r="C22" s="15">
        <v>1</v>
      </c>
      <c r="D22" s="15">
        <v>4</v>
      </c>
      <c r="E22" s="15">
        <v>1</v>
      </c>
      <c r="F22" s="15">
        <v>3</v>
      </c>
      <c r="G22" s="15">
        <v>1</v>
      </c>
      <c r="H22" s="15">
        <v>3</v>
      </c>
      <c r="I22" s="15">
        <v>0</v>
      </c>
      <c r="J22" s="15">
        <v>3</v>
      </c>
      <c r="K22" s="15">
        <v>1</v>
      </c>
      <c r="L22" s="15">
        <v>2</v>
      </c>
      <c r="M22" s="15">
        <v>1</v>
      </c>
      <c r="N22" s="16">
        <f>SUM(B22:M22)</f>
        <v>23</v>
      </c>
      <c r="O22" s="15"/>
    </row>
    <row r="23" spans="1:15" x14ac:dyDescent="0.25">
      <c r="B23" s="50" t="s">
        <v>230</v>
      </c>
    </row>
    <row r="24" spans="1:15" x14ac:dyDescent="0.25">
      <c r="B24" s="50" t="s">
        <v>399</v>
      </c>
    </row>
    <row r="25" spans="1:15" x14ac:dyDescent="0.25">
      <c r="B25" t="s">
        <v>292</v>
      </c>
    </row>
    <row r="26" spans="1:15" x14ac:dyDescent="0.25">
      <c r="B26" t="s">
        <v>143</v>
      </c>
    </row>
    <row r="27" spans="1:15" x14ac:dyDescent="0.25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5" x14ac:dyDescent="0.25">
      <c r="A28" s="136"/>
      <c r="B28" s="101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</row>
    <row r="29" spans="1:15" x14ac:dyDescent="0.25">
      <c r="A29" s="251" t="s">
        <v>375</v>
      </c>
      <c r="B29" s="251"/>
      <c r="C29" s="251"/>
      <c r="D29" s="251"/>
    </row>
    <row r="30" spans="1:15" s="1" customFormat="1" x14ac:dyDescent="0.25">
      <c r="A30" s="140" t="s">
        <v>68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 t="s">
        <v>7</v>
      </c>
      <c r="H30" s="3" t="s">
        <v>8</v>
      </c>
      <c r="I30" s="3" t="s">
        <v>9</v>
      </c>
      <c r="J30" s="3" t="s">
        <v>10</v>
      </c>
      <c r="K30" s="3" t="s">
        <v>11</v>
      </c>
      <c r="L30" s="3" t="s">
        <v>12</v>
      </c>
      <c r="M30" s="3" t="s">
        <v>13</v>
      </c>
      <c r="N30" s="4" t="s">
        <v>14</v>
      </c>
    </row>
    <row r="31" spans="1:15" s="1" customForma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5" s="1" customFormat="1" x14ac:dyDescent="0.25">
      <c r="A32" s="4" t="s">
        <v>15</v>
      </c>
      <c r="B32" s="5">
        <f>66-16+3</f>
        <v>53</v>
      </c>
      <c r="C32" s="3">
        <v>54</v>
      </c>
      <c r="D32" s="3">
        <v>58</v>
      </c>
      <c r="E32" s="3">
        <v>59</v>
      </c>
      <c r="F32" s="3">
        <v>62</v>
      </c>
      <c r="G32" s="6">
        <v>63</v>
      </c>
      <c r="H32" s="3">
        <v>66</v>
      </c>
      <c r="I32" s="3">
        <v>66</v>
      </c>
      <c r="J32" s="3">
        <v>69</v>
      </c>
      <c r="K32" s="3">
        <v>70</v>
      </c>
      <c r="L32" s="3">
        <v>72</v>
      </c>
      <c r="M32" s="3">
        <v>73</v>
      </c>
      <c r="N32" s="7">
        <f>SUM(B32:M32)/12</f>
        <v>63.75</v>
      </c>
    </row>
    <row r="33" spans="1:15" s="1" customFormat="1" x14ac:dyDescent="0.25">
      <c r="A33" s="4" t="s">
        <v>16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>
        <f>SUM(B33:M33)/12</f>
        <v>0</v>
      </c>
    </row>
    <row r="34" spans="1:15" s="1" customFormat="1" x14ac:dyDescent="0.25">
      <c r="A34" s="4" t="s">
        <v>17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9">
        <f>SUM(B34:M34)/12</f>
        <v>0</v>
      </c>
    </row>
    <row r="35" spans="1:15" s="1" customFormat="1" x14ac:dyDescent="0.25">
      <c r="A35" s="4"/>
      <c r="B35" s="10"/>
      <c r="C35" s="10"/>
      <c r="D35" s="10"/>
      <c r="E35" s="10"/>
      <c r="F35" s="10"/>
      <c r="G35" s="10"/>
      <c r="H35" s="8"/>
      <c r="I35" s="10"/>
      <c r="J35" s="10"/>
      <c r="K35" s="10"/>
      <c r="L35" s="10"/>
      <c r="M35" s="10"/>
      <c r="N35" s="11"/>
      <c r="O35" s="12"/>
    </row>
    <row r="36" spans="1:15" s="1" customFormat="1" x14ac:dyDescent="0.25">
      <c r="A36" s="2" t="s">
        <v>51</v>
      </c>
      <c r="B36" s="3">
        <f>B32+(B34*1.5)+(B33*0.8)</f>
        <v>53</v>
      </c>
      <c r="C36" s="3">
        <f>C32+(C34*1.5)+(C33*0.8)</f>
        <v>54</v>
      </c>
      <c r="D36" s="3">
        <f>D32+(D34*1.5)+(D33*0.8)</f>
        <v>58</v>
      </c>
      <c r="E36" s="3">
        <f>E32+(E34*1.5)+(E33*0.8)</f>
        <v>59</v>
      </c>
      <c r="F36" s="3">
        <f>F32+(F34*1.5)+(F33*0.8)</f>
        <v>62</v>
      </c>
      <c r="G36" s="3">
        <f t="shared" ref="G36:M36" si="2">G32+(G34*1.5)+(G33*0.8)</f>
        <v>63</v>
      </c>
      <c r="H36" s="3">
        <f t="shared" si="2"/>
        <v>66</v>
      </c>
      <c r="I36" s="3">
        <f t="shared" si="2"/>
        <v>66</v>
      </c>
      <c r="J36" s="3">
        <f t="shared" si="2"/>
        <v>69</v>
      </c>
      <c r="K36" s="3">
        <f t="shared" si="2"/>
        <v>70</v>
      </c>
      <c r="L36" s="3">
        <f t="shared" si="2"/>
        <v>72</v>
      </c>
      <c r="M36" s="3">
        <f t="shared" si="2"/>
        <v>73</v>
      </c>
      <c r="N36" s="9">
        <f>SUM(B36:M36)/12</f>
        <v>63.75</v>
      </c>
    </row>
    <row r="37" spans="1:15" s="1" customFormat="1" x14ac:dyDescent="0.25">
      <c r="A37" s="13" t="s">
        <v>19</v>
      </c>
      <c r="B37" s="14">
        <v>3</v>
      </c>
      <c r="C37" s="15">
        <v>1</v>
      </c>
      <c r="D37" s="15">
        <v>4</v>
      </c>
      <c r="E37" s="15">
        <v>1</v>
      </c>
      <c r="F37" s="15">
        <v>3</v>
      </c>
      <c r="G37" s="15">
        <v>1</v>
      </c>
      <c r="H37" s="15">
        <v>3</v>
      </c>
      <c r="I37" s="15">
        <v>0</v>
      </c>
      <c r="J37" s="15">
        <v>3</v>
      </c>
      <c r="K37" s="15">
        <v>1</v>
      </c>
      <c r="L37" s="15">
        <v>2</v>
      </c>
      <c r="M37" s="15">
        <v>1</v>
      </c>
      <c r="N37" s="16">
        <f>SUM(B37:M37)</f>
        <v>23</v>
      </c>
      <c r="O37" s="15"/>
    </row>
    <row r="38" spans="1:15" x14ac:dyDescent="0.25">
      <c r="B38" s="50" t="s">
        <v>230</v>
      </c>
    </row>
    <row r="39" spans="1:15" x14ac:dyDescent="0.25">
      <c r="B39" s="50" t="s">
        <v>399</v>
      </c>
    </row>
    <row r="42" spans="1:15" x14ac:dyDescent="0.25">
      <c r="A42" s="189" t="s">
        <v>227</v>
      </c>
      <c r="B42" s="189"/>
      <c r="C42" s="189"/>
      <c r="D42" s="189"/>
    </row>
    <row r="43" spans="1:15" s="1" customFormat="1" x14ac:dyDescent="0.25">
      <c r="A43" s="140" t="s">
        <v>68</v>
      </c>
      <c r="B43" s="3" t="s">
        <v>2</v>
      </c>
      <c r="C43" s="3" t="s">
        <v>3</v>
      </c>
      <c r="D43" s="3" t="s">
        <v>4</v>
      </c>
      <c r="E43" s="3" t="s">
        <v>5</v>
      </c>
      <c r="F43" s="3" t="s">
        <v>6</v>
      </c>
      <c r="G43" s="3" t="s">
        <v>7</v>
      </c>
      <c r="H43" s="3" t="s">
        <v>8</v>
      </c>
      <c r="I43" s="3" t="s">
        <v>9</v>
      </c>
      <c r="J43" s="3" t="s">
        <v>10</v>
      </c>
      <c r="K43" s="3" t="s">
        <v>11</v>
      </c>
      <c r="L43" s="3" t="s">
        <v>12</v>
      </c>
      <c r="M43" s="3" t="s">
        <v>13</v>
      </c>
      <c r="N43" s="4" t="s">
        <v>14</v>
      </c>
    </row>
    <row r="44" spans="1:15" s="1" customForma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5" s="1" customFormat="1" x14ac:dyDescent="0.25">
      <c r="A45" s="4" t="s">
        <v>15</v>
      </c>
      <c r="B45" s="5">
        <f>62-20</f>
        <v>42</v>
      </c>
      <c r="C45" s="3">
        <v>44</v>
      </c>
      <c r="D45" s="3">
        <v>44</v>
      </c>
      <c r="E45" s="3">
        <v>45</v>
      </c>
      <c r="F45" s="3">
        <v>46</v>
      </c>
      <c r="G45" s="6">
        <v>49</v>
      </c>
      <c r="H45" s="3">
        <v>51</v>
      </c>
      <c r="I45" s="3">
        <v>52</v>
      </c>
      <c r="J45" s="3">
        <v>58</v>
      </c>
      <c r="K45" s="3">
        <v>62</v>
      </c>
      <c r="L45" s="3">
        <v>62</v>
      </c>
      <c r="M45" s="3">
        <v>63</v>
      </c>
      <c r="N45" s="7">
        <f>SUM(B45:M45)/12</f>
        <v>51.5</v>
      </c>
    </row>
    <row r="46" spans="1:15" s="1" customFormat="1" x14ac:dyDescent="0.25">
      <c r="A46" s="4" t="s">
        <v>16</v>
      </c>
      <c r="B46" s="8">
        <v>1</v>
      </c>
      <c r="C46" s="8">
        <v>1</v>
      </c>
      <c r="D46" s="8">
        <v>1</v>
      </c>
      <c r="E46" s="8">
        <v>1</v>
      </c>
      <c r="F46" s="8">
        <v>1</v>
      </c>
      <c r="G46" s="8">
        <v>1</v>
      </c>
      <c r="H46" s="8">
        <v>1</v>
      </c>
      <c r="I46" s="8">
        <v>1</v>
      </c>
      <c r="J46" s="8">
        <v>1</v>
      </c>
      <c r="K46" s="8">
        <v>1</v>
      </c>
      <c r="L46" s="8">
        <v>1</v>
      </c>
      <c r="M46" s="8">
        <v>1</v>
      </c>
      <c r="N46" s="9">
        <f>SUM(B46:M46)/12</f>
        <v>1</v>
      </c>
    </row>
    <row r="47" spans="1:15" s="1" customFormat="1" x14ac:dyDescent="0.25">
      <c r="A47" s="4" t="s">
        <v>17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9">
        <f>SUM(B47:M47)/12</f>
        <v>0</v>
      </c>
    </row>
    <row r="48" spans="1:15" s="1" customFormat="1" x14ac:dyDescent="0.25">
      <c r="A48" s="4"/>
      <c r="B48" s="10"/>
      <c r="C48" s="10"/>
      <c r="D48" s="10"/>
      <c r="E48" s="10"/>
      <c r="F48" s="10"/>
      <c r="G48" s="10"/>
      <c r="H48" s="8"/>
      <c r="I48" s="10"/>
      <c r="J48" s="10"/>
      <c r="K48" s="10"/>
      <c r="L48" s="10"/>
      <c r="M48" s="10"/>
      <c r="N48" s="11"/>
      <c r="O48" s="12"/>
    </row>
    <row r="49" spans="1:15" s="1" customFormat="1" x14ac:dyDescent="0.25">
      <c r="A49" s="2" t="s">
        <v>51</v>
      </c>
      <c r="B49" s="3">
        <f>B45+(B47*1.5)+(B46*0.8)</f>
        <v>42.8</v>
      </c>
      <c r="C49" s="3">
        <f>C45+(C47*1.5)+(C46*0.8)</f>
        <v>44.8</v>
      </c>
      <c r="D49" s="3">
        <f>D45+(D47*1.5)+(D46*0.8)</f>
        <v>44.8</v>
      </c>
      <c r="E49" s="3">
        <f>E45+(E47*1.5)+(E46*0.8)</f>
        <v>45.8</v>
      </c>
      <c r="F49" s="3">
        <f>F45+(F47*1.5)+(F46*0.8)</f>
        <v>46.8</v>
      </c>
      <c r="G49" s="3">
        <f t="shared" ref="G49:M49" si="3">G45+(G47*1.5)+(G46*0.8)</f>
        <v>49.8</v>
      </c>
      <c r="H49" s="3">
        <f t="shared" si="3"/>
        <v>51.8</v>
      </c>
      <c r="I49" s="3">
        <f t="shared" si="3"/>
        <v>52.8</v>
      </c>
      <c r="J49" s="3">
        <f t="shared" si="3"/>
        <v>58.8</v>
      </c>
      <c r="K49" s="3">
        <f t="shared" si="3"/>
        <v>62.8</v>
      </c>
      <c r="L49" s="3">
        <f t="shared" si="3"/>
        <v>62.8</v>
      </c>
      <c r="M49" s="3">
        <f t="shared" si="3"/>
        <v>63.8</v>
      </c>
      <c r="N49" s="9">
        <f>SUM(B49:M49)/12</f>
        <v>52.300000000000004</v>
      </c>
    </row>
    <row r="50" spans="1:15" s="1" customFormat="1" x14ac:dyDescent="0.25">
      <c r="A50" s="13" t="s">
        <v>19</v>
      </c>
      <c r="B50" s="14">
        <v>0</v>
      </c>
      <c r="C50" s="15">
        <v>2</v>
      </c>
      <c r="D50" s="15">
        <v>0</v>
      </c>
      <c r="E50" s="15">
        <v>1</v>
      </c>
      <c r="F50" s="15">
        <v>1</v>
      </c>
      <c r="G50" s="15">
        <v>3</v>
      </c>
      <c r="H50" s="15">
        <v>2</v>
      </c>
      <c r="I50" s="15">
        <v>1</v>
      </c>
      <c r="J50" s="15">
        <v>6</v>
      </c>
      <c r="K50" s="15">
        <v>4</v>
      </c>
      <c r="L50" s="15">
        <v>0</v>
      </c>
      <c r="M50" s="15">
        <v>1</v>
      </c>
      <c r="N50" s="16">
        <f>SUM(B50:M50)</f>
        <v>21</v>
      </c>
      <c r="O50" s="15"/>
    </row>
    <row r="51" spans="1:15" x14ac:dyDescent="0.25">
      <c r="B51" t="s">
        <v>143</v>
      </c>
    </row>
    <row r="53" spans="1:15" x14ac:dyDescent="0.25">
      <c r="A53" s="228" t="s">
        <v>228</v>
      </c>
      <c r="B53" s="228"/>
      <c r="C53" s="228"/>
      <c r="D53" s="228"/>
    </row>
    <row r="54" spans="1:15" s="1" customFormat="1" x14ac:dyDescent="0.25">
      <c r="A54" s="140" t="s">
        <v>68</v>
      </c>
      <c r="B54" s="3" t="s">
        <v>2</v>
      </c>
      <c r="C54" s="3" t="s">
        <v>3</v>
      </c>
      <c r="D54" s="3" t="s">
        <v>4</v>
      </c>
      <c r="E54" s="3" t="s">
        <v>5</v>
      </c>
      <c r="F54" s="3" t="s">
        <v>6</v>
      </c>
      <c r="G54" s="3" t="s">
        <v>7</v>
      </c>
      <c r="H54" s="3" t="s">
        <v>8</v>
      </c>
      <c r="I54" s="3" t="s">
        <v>9</v>
      </c>
      <c r="J54" s="3" t="s">
        <v>10</v>
      </c>
      <c r="K54" s="3" t="s">
        <v>11</v>
      </c>
      <c r="L54" s="3" t="s">
        <v>12</v>
      </c>
      <c r="M54" s="3" t="s">
        <v>13</v>
      </c>
      <c r="N54" s="4" t="s">
        <v>14</v>
      </c>
    </row>
    <row r="55" spans="1:15" s="1" customForma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5" s="1" customFormat="1" x14ac:dyDescent="0.25">
      <c r="A56" s="4" t="s">
        <v>15</v>
      </c>
      <c r="B56" s="5">
        <f>63-16+3</f>
        <v>50</v>
      </c>
      <c r="C56" s="3">
        <v>51</v>
      </c>
      <c r="D56" s="3">
        <v>55</v>
      </c>
      <c r="E56" s="3">
        <v>56</v>
      </c>
      <c r="F56" s="3">
        <v>60</v>
      </c>
      <c r="G56" s="6">
        <v>61</v>
      </c>
      <c r="H56" s="3">
        <v>64</v>
      </c>
      <c r="I56" s="3">
        <v>64</v>
      </c>
      <c r="J56" s="3">
        <v>65</v>
      </c>
      <c r="K56" s="3">
        <v>67</v>
      </c>
      <c r="L56" s="3">
        <v>69</v>
      </c>
      <c r="M56" s="3">
        <v>70</v>
      </c>
      <c r="N56" s="7">
        <f>SUM(B56:M56)/12</f>
        <v>61</v>
      </c>
    </row>
    <row r="57" spans="1:15" s="1" customFormat="1" x14ac:dyDescent="0.25">
      <c r="A57" s="4" t="s">
        <v>16</v>
      </c>
      <c r="B57" s="8">
        <v>1</v>
      </c>
      <c r="C57" s="8">
        <v>1</v>
      </c>
      <c r="D57" s="8">
        <v>1</v>
      </c>
      <c r="E57" s="8">
        <v>1</v>
      </c>
      <c r="F57" s="8">
        <v>1</v>
      </c>
      <c r="G57" s="8">
        <v>1</v>
      </c>
      <c r="H57" s="8">
        <v>1</v>
      </c>
      <c r="I57" s="8">
        <v>1</v>
      </c>
      <c r="J57" s="8">
        <v>1</v>
      </c>
      <c r="K57" s="8">
        <v>1</v>
      </c>
      <c r="L57" s="8">
        <v>1</v>
      </c>
      <c r="M57" s="8">
        <v>1</v>
      </c>
      <c r="N57" s="9">
        <f>SUM(B57:M57)/12</f>
        <v>1</v>
      </c>
    </row>
    <row r="58" spans="1:15" s="1" customFormat="1" x14ac:dyDescent="0.25">
      <c r="A58" s="4" t="s">
        <v>17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9">
        <f>SUM(B58:M58)/12</f>
        <v>0</v>
      </c>
    </row>
    <row r="59" spans="1:15" s="1" customFormat="1" x14ac:dyDescent="0.25">
      <c r="A59" s="4"/>
      <c r="B59" s="10"/>
      <c r="C59" s="10"/>
      <c r="D59" s="10"/>
      <c r="E59" s="10"/>
      <c r="F59" s="10"/>
      <c r="G59" s="10"/>
      <c r="H59" s="8"/>
      <c r="I59" s="10"/>
      <c r="J59" s="10"/>
      <c r="K59" s="10"/>
      <c r="L59" s="10"/>
      <c r="M59" s="10"/>
      <c r="N59" s="11"/>
      <c r="O59" s="12"/>
    </row>
    <row r="60" spans="1:15" s="1" customFormat="1" x14ac:dyDescent="0.25">
      <c r="A60" s="2" t="s">
        <v>51</v>
      </c>
      <c r="B60" s="3">
        <f>B56+(B58*1.5)+(B57*0.8)</f>
        <v>50.8</v>
      </c>
      <c r="C60" s="3">
        <f>C56+(C58*1.5)+(C57*0.8)</f>
        <v>51.8</v>
      </c>
      <c r="D60" s="3">
        <f>D56+(D58*1.5)+(D57*0.8)</f>
        <v>55.8</v>
      </c>
      <c r="E60" s="3">
        <f>E56+(E58*1.5)+(E57*0.8)</f>
        <v>56.8</v>
      </c>
      <c r="F60" s="3">
        <f>F56+(F58*1.5)+(F57*0.8)</f>
        <v>60.8</v>
      </c>
      <c r="G60" s="3">
        <f t="shared" ref="G60:M60" si="4">G56+(G58*1.5)+(G57*0.8)</f>
        <v>61.8</v>
      </c>
      <c r="H60" s="3">
        <f t="shared" si="4"/>
        <v>64.8</v>
      </c>
      <c r="I60" s="3">
        <f t="shared" si="4"/>
        <v>64.8</v>
      </c>
      <c r="J60" s="3">
        <f t="shared" si="4"/>
        <v>65.8</v>
      </c>
      <c r="K60" s="3">
        <f t="shared" si="4"/>
        <v>67.8</v>
      </c>
      <c r="L60" s="3">
        <f t="shared" si="4"/>
        <v>69.8</v>
      </c>
      <c r="M60" s="3">
        <f t="shared" si="4"/>
        <v>70.8</v>
      </c>
      <c r="N60" s="9">
        <f>SUM(B60:M60)/12</f>
        <v>61.79999999999999</v>
      </c>
    </row>
    <row r="61" spans="1:15" s="1" customFormat="1" x14ac:dyDescent="0.25">
      <c r="A61" s="13" t="s">
        <v>19</v>
      </c>
      <c r="B61" s="14">
        <v>3</v>
      </c>
      <c r="C61" s="15">
        <v>1</v>
      </c>
      <c r="D61" s="15">
        <v>4</v>
      </c>
      <c r="E61" s="15">
        <v>1</v>
      </c>
      <c r="F61" s="15">
        <v>4</v>
      </c>
      <c r="G61" s="15">
        <v>1</v>
      </c>
      <c r="H61" s="15">
        <v>3</v>
      </c>
      <c r="I61" s="15">
        <v>0</v>
      </c>
      <c r="J61" s="15">
        <v>1</v>
      </c>
      <c r="K61" s="15">
        <v>2</v>
      </c>
      <c r="L61" s="15">
        <v>2</v>
      </c>
      <c r="M61" s="15">
        <v>1</v>
      </c>
      <c r="N61" s="16">
        <f>SUM(B61:M61)</f>
        <v>23</v>
      </c>
      <c r="O61" s="15"/>
    </row>
    <row r="62" spans="1:15" x14ac:dyDescent="0.25">
      <c r="B62" t="s">
        <v>230</v>
      </c>
    </row>
    <row r="63" spans="1:15" x14ac:dyDescent="0.25">
      <c r="B63" t="s">
        <v>232</v>
      </c>
    </row>
    <row r="65" spans="1:15" x14ac:dyDescent="0.25">
      <c r="A65" s="221" t="s">
        <v>229</v>
      </c>
      <c r="B65" s="221"/>
      <c r="C65" s="221"/>
      <c r="D65" s="221"/>
    </row>
    <row r="66" spans="1:15" s="1" customFormat="1" x14ac:dyDescent="0.25">
      <c r="A66" s="140" t="s">
        <v>68</v>
      </c>
      <c r="B66" s="3" t="s">
        <v>2</v>
      </c>
      <c r="C66" s="3" t="s">
        <v>3</v>
      </c>
      <c r="D66" s="3" t="s">
        <v>4</v>
      </c>
      <c r="E66" s="3" t="s">
        <v>5</v>
      </c>
      <c r="F66" s="3" t="s">
        <v>6</v>
      </c>
      <c r="G66" s="3" t="s">
        <v>7</v>
      </c>
      <c r="H66" s="3" t="s">
        <v>8</v>
      </c>
      <c r="I66" s="3" t="s">
        <v>9</v>
      </c>
      <c r="J66" s="3" t="s">
        <v>10</v>
      </c>
      <c r="K66" s="3" t="s">
        <v>11</v>
      </c>
      <c r="L66" s="3" t="s">
        <v>12</v>
      </c>
      <c r="M66" s="3" t="s">
        <v>13</v>
      </c>
      <c r="N66" s="4" t="s">
        <v>14</v>
      </c>
    </row>
    <row r="67" spans="1:15" s="1" customForma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5" s="1" customFormat="1" x14ac:dyDescent="0.25">
      <c r="A68" s="4" t="s">
        <v>15</v>
      </c>
      <c r="B68" s="5">
        <f>70-16+1</f>
        <v>55</v>
      </c>
      <c r="C68" s="3">
        <v>58</v>
      </c>
      <c r="D68" s="3">
        <v>60</v>
      </c>
      <c r="E68" s="3">
        <v>61</v>
      </c>
      <c r="F68" s="3">
        <v>63</v>
      </c>
      <c r="G68" s="6">
        <v>63</v>
      </c>
      <c r="H68" s="3">
        <v>63</v>
      </c>
      <c r="I68" s="3">
        <v>63</v>
      </c>
      <c r="J68" s="3">
        <v>63</v>
      </c>
      <c r="K68" s="3">
        <v>63</v>
      </c>
      <c r="L68" s="3">
        <v>63</v>
      </c>
      <c r="M68" s="3">
        <v>63</v>
      </c>
      <c r="N68" s="7">
        <f>SUM(B68:M68)/12</f>
        <v>61.5</v>
      </c>
    </row>
    <row r="69" spans="1:15" s="1" customFormat="1" x14ac:dyDescent="0.25">
      <c r="A69" s="4" t="s">
        <v>16</v>
      </c>
      <c r="B69" s="8">
        <f>1-1</f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9">
        <f>SUM(B69:M69)/12</f>
        <v>0</v>
      </c>
    </row>
    <row r="70" spans="1:15" s="1" customFormat="1" x14ac:dyDescent="0.25">
      <c r="A70" s="4" t="s">
        <v>17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9">
        <f>SUM(B70:M70)/12</f>
        <v>0</v>
      </c>
    </row>
    <row r="71" spans="1:15" s="1" customFormat="1" x14ac:dyDescent="0.25">
      <c r="A71" s="4"/>
      <c r="B71" s="10"/>
      <c r="C71" s="10"/>
      <c r="D71" s="10"/>
      <c r="E71" s="10"/>
      <c r="F71" s="10"/>
      <c r="G71" s="10"/>
      <c r="H71" s="8"/>
      <c r="I71" s="10"/>
      <c r="J71" s="10"/>
      <c r="K71" s="10"/>
      <c r="L71" s="10"/>
      <c r="M71" s="10"/>
      <c r="N71" s="11"/>
      <c r="O71" s="12"/>
    </row>
    <row r="72" spans="1:15" s="1" customFormat="1" x14ac:dyDescent="0.25">
      <c r="A72" s="2" t="s">
        <v>51</v>
      </c>
      <c r="B72" s="3">
        <f>B68+(B70*1.5)+(B69*0.8)</f>
        <v>55</v>
      </c>
      <c r="C72" s="3">
        <f>C68+(C70*1.5)+(C69*0.8)</f>
        <v>58</v>
      </c>
      <c r="D72" s="3">
        <f>D68+(D70*1.5)+(D69*0.8)</f>
        <v>60</v>
      </c>
      <c r="E72" s="3">
        <f>E68+(E70*1.5)+(E69*0.8)</f>
        <v>61</v>
      </c>
      <c r="F72" s="3">
        <f>F68+(F70*1.5)+(F69*0.8)</f>
        <v>63</v>
      </c>
      <c r="G72" s="3">
        <f t="shared" ref="G72:M72" si="5">G68+(G70*1.5)+(G69*0.8)</f>
        <v>63</v>
      </c>
      <c r="H72" s="3">
        <f t="shared" si="5"/>
        <v>63</v>
      </c>
      <c r="I72" s="3">
        <f t="shared" si="5"/>
        <v>63</v>
      </c>
      <c r="J72" s="3">
        <f t="shared" si="5"/>
        <v>63</v>
      </c>
      <c r="K72" s="3">
        <f t="shared" si="5"/>
        <v>63</v>
      </c>
      <c r="L72" s="3">
        <f t="shared" si="5"/>
        <v>63</v>
      </c>
      <c r="M72" s="3">
        <f t="shared" si="5"/>
        <v>63</v>
      </c>
      <c r="N72" s="9">
        <f>SUM(B72:M72)/12</f>
        <v>61.5</v>
      </c>
    </row>
    <row r="73" spans="1:15" s="1" customFormat="1" x14ac:dyDescent="0.25">
      <c r="A73" s="13" t="s">
        <v>19</v>
      </c>
      <c r="B73" s="14">
        <v>1</v>
      </c>
      <c r="C73" s="15">
        <v>3</v>
      </c>
      <c r="D73" s="15">
        <v>2</v>
      </c>
      <c r="E73" s="15">
        <v>1</v>
      </c>
      <c r="F73" s="15">
        <v>2</v>
      </c>
      <c r="G73" s="15">
        <v>0</v>
      </c>
      <c r="H73" s="15">
        <v>0</v>
      </c>
      <c r="I73" s="15">
        <v>0</v>
      </c>
      <c r="J73" s="15">
        <v>0</v>
      </c>
      <c r="K73" s="223" t="s">
        <v>234</v>
      </c>
      <c r="L73" s="223"/>
      <c r="M73" s="223"/>
      <c r="N73" s="16">
        <f>SUM(B73:M73)</f>
        <v>9</v>
      </c>
      <c r="O73" s="15"/>
    </row>
    <row r="74" spans="1:15" x14ac:dyDescent="0.25">
      <c r="B74" t="s">
        <v>127</v>
      </c>
    </row>
    <row r="75" spans="1:15" x14ac:dyDescent="0.25">
      <c r="B75" t="s">
        <v>231</v>
      </c>
    </row>
    <row r="76" spans="1:15" x14ac:dyDescent="0.25">
      <c r="B76" t="s">
        <v>233</v>
      </c>
    </row>
    <row r="78" spans="1:15" x14ac:dyDescent="0.25">
      <c r="A78" s="189" t="s">
        <v>126</v>
      </c>
      <c r="B78" s="189"/>
      <c r="C78" s="189"/>
      <c r="D78" s="189"/>
    </row>
    <row r="79" spans="1:15" s="1" customFormat="1" x14ac:dyDescent="0.25">
      <c r="A79" s="140" t="s">
        <v>68</v>
      </c>
      <c r="B79" s="3" t="s">
        <v>2</v>
      </c>
      <c r="C79" s="3" t="s">
        <v>3</v>
      </c>
      <c r="D79" s="3" t="s">
        <v>4</v>
      </c>
      <c r="E79" s="3" t="s">
        <v>5</v>
      </c>
      <c r="F79" s="3" t="s">
        <v>6</v>
      </c>
      <c r="G79" s="3" t="s">
        <v>7</v>
      </c>
      <c r="H79" s="3" t="s">
        <v>8</v>
      </c>
      <c r="I79" s="3" t="s">
        <v>9</v>
      </c>
      <c r="J79" s="3" t="s">
        <v>10</v>
      </c>
      <c r="K79" s="3" t="s">
        <v>11</v>
      </c>
      <c r="L79" s="3" t="s">
        <v>12</v>
      </c>
      <c r="M79" s="3" t="s">
        <v>13</v>
      </c>
      <c r="N79" s="4" t="s">
        <v>14</v>
      </c>
    </row>
    <row r="80" spans="1:15" s="1" customForma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5" s="1" customFormat="1" x14ac:dyDescent="0.25">
      <c r="A81" s="4" t="s">
        <v>15</v>
      </c>
      <c r="B81" s="5">
        <f>63-19</f>
        <v>44</v>
      </c>
      <c r="C81" s="3">
        <v>46</v>
      </c>
      <c r="D81" s="3">
        <v>46</v>
      </c>
      <c r="E81" s="3">
        <v>47</v>
      </c>
      <c r="F81" s="3">
        <v>48</v>
      </c>
      <c r="G81" s="6">
        <v>51</v>
      </c>
      <c r="H81" s="3">
        <v>53</v>
      </c>
      <c r="I81" s="3">
        <v>54</v>
      </c>
      <c r="J81" s="3">
        <v>60</v>
      </c>
      <c r="K81" s="3">
        <v>64</v>
      </c>
      <c r="L81" s="3">
        <v>64</v>
      </c>
      <c r="M81" s="3">
        <v>65</v>
      </c>
      <c r="N81" s="7">
        <f>SUM(B81:M81)/12</f>
        <v>53.5</v>
      </c>
    </row>
    <row r="82" spans="1:15" s="1" customFormat="1" x14ac:dyDescent="0.25">
      <c r="A82" s="4" t="s">
        <v>16</v>
      </c>
      <c r="B82" s="8">
        <f>1-1</f>
        <v>0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9">
        <f>SUM(B82:M82)/12</f>
        <v>0</v>
      </c>
    </row>
    <row r="83" spans="1:15" s="1" customFormat="1" x14ac:dyDescent="0.25">
      <c r="A83" s="4" t="s">
        <v>17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9">
        <f>SUM(B83:M83)/12</f>
        <v>0</v>
      </c>
    </row>
    <row r="84" spans="1:15" s="1" customFormat="1" x14ac:dyDescent="0.25">
      <c r="A84" s="4"/>
      <c r="B84" s="10"/>
      <c r="C84" s="10"/>
      <c r="D84" s="10"/>
      <c r="E84" s="10"/>
      <c r="F84" s="10"/>
      <c r="G84" s="10"/>
      <c r="H84" s="8"/>
      <c r="I84" s="10"/>
      <c r="J84" s="10"/>
      <c r="K84" s="10"/>
      <c r="L84" s="10"/>
      <c r="M84" s="10"/>
      <c r="N84" s="11"/>
      <c r="O84" s="12"/>
    </row>
    <row r="85" spans="1:15" s="1" customFormat="1" x14ac:dyDescent="0.25">
      <c r="A85" s="2" t="s">
        <v>51</v>
      </c>
      <c r="B85" s="3">
        <f>B81+(B83*1.5)+(B82*0.8)</f>
        <v>44</v>
      </c>
      <c r="C85" s="3">
        <f>C81+(C83*1.5)+(C82*0.8)</f>
        <v>46</v>
      </c>
      <c r="D85" s="3">
        <f>D81+(D83*1.5)+(D82*0.8)</f>
        <v>46</v>
      </c>
      <c r="E85" s="3">
        <f>E81+(E83*1.5)+(E82*0.8)</f>
        <v>47</v>
      </c>
      <c r="F85" s="3">
        <f>F81+(F83*1.5)+(F82*0.8)</f>
        <v>48</v>
      </c>
      <c r="G85" s="3">
        <f t="shared" ref="G85:M85" si="6">G81+(G83*1.5)+(G82*0.8)</f>
        <v>51</v>
      </c>
      <c r="H85" s="3">
        <f t="shared" si="6"/>
        <v>53</v>
      </c>
      <c r="I85" s="3">
        <f t="shared" si="6"/>
        <v>54</v>
      </c>
      <c r="J85" s="3">
        <f t="shared" si="6"/>
        <v>60</v>
      </c>
      <c r="K85" s="3">
        <f t="shared" si="6"/>
        <v>64</v>
      </c>
      <c r="L85" s="3">
        <f t="shared" si="6"/>
        <v>64</v>
      </c>
      <c r="M85" s="3">
        <f t="shared" si="6"/>
        <v>65</v>
      </c>
      <c r="N85" s="9">
        <f>SUM(B85:M85)/12</f>
        <v>53.5</v>
      </c>
    </row>
    <row r="86" spans="1:15" s="1" customFormat="1" x14ac:dyDescent="0.25">
      <c r="A86" s="13" t="s">
        <v>19</v>
      </c>
      <c r="B86" s="14">
        <v>0</v>
      </c>
      <c r="C86" s="15">
        <v>2</v>
      </c>
      <c r="D86" s="15">
        <v>0</v>
      </c>
      <c r="E86" s="15">
        <v>1</v>
      </c>
      <c r="F86" s="15">
        <v>1</v>
      </c>
      <c r="G86" s="15">
        <v>3</v>
      </c>
      <c r="H86" s="15">
        <v>2</v>
      </c>
      <c r="I86" s="15">
        <v>1</v>
      </c>
      <c r="J86" s="15">
        <v>6</v>
      </c>
      <c r="K86" s="15">
        <v>4</v>
      </c>
      <c r="L86" s="15">
        <v>0</v>
      </c>
      <c r="M86" s="15">
        <v>1</v>
      </c>
      <c r="N86" s="16">
        <f>SUM(B86:M86)</f>
        <v>21</v>
      </c>
      <c r="O86" s="15"/>
    </row>
    <row r="87" spans="1:15" x14ac:dyDescent="0.25">
      <c r="B87" t="s">
        <v>143</v>
      </c>
    </row>
    <row r="88" spans="1:15" x14ac:dyDescent="0.25">
      <c r="B88" t="s">
        <v>57</v>
      </c>
    </row>
    <row r="90" spans="1:15" ht="15.75" customHeight="1" x14ac:dyDescent="0.25">
      <c r="A90" s="35" t="s">
        <v>39</v>
      </c>
      <c r="B90" s="72"/>
      <c r="C90" s="72"/>
      <c r="D90" s="72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</row>
    <row r="91" spans="1:15" x14ac:dyDescent="0.25">
      <c r="A91" s="140" t="s">
        <v>68</v>
      </c>
      <c r="B91" s="141" t="s">
        <v>2</v>
      </c>
      <c r="C91" s="141" t="s">
        <v>3</v>
      </c>
      <c r="D91" s="141" t="s">
        <v>4</v>
      </c>
      <c r="E91" s="141" t="s">
        <v>5</v>
      </c>
      <c r="F91" s="141" t="s">
        <v>6</v>
      </c>
      <c r="G91" s="141" t="s">
        <v>7</v>
      </c>
      <c r="H91" s="141" t="s">
        <v>8</v>
      </c>
      <c r="I91" s="141" t="s">
        <v>9</v>
      </c>
      <c r="J91" s="141" t="s">
        <v>10</v>
      </c>
      <c r="K91" s="141" t="s">
        <v>11</v>
      </c>
      <c r="L91" s="141" t="s">
        <v>12</v>
      </c>
      <c r="M91" s="141" t="s">
        <v>13</v>
      </c>
      <c r="N91" s="142" t="s">
        <v>14</v>
      </c>
      <c r="O91" s="77"/>
    </row>
    <row r="92" spans="1:15" x14ac:dyDescent="0.25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77"/>
    </row>
    <row r="93" spans="1:15" x14ac:dyDescent="0.25">
      <c r="A93" s="142" t="s">
        <v>15</v>
      </c>
      <c r="B93" s="28">
        <f>48-0.5</f>
        <v>47.5</v>
      </c>
      <c r="C93" s="54">
        <v>48</v>
      </c>
      <c r="D93" s="54">
        <f>48+3+0.25</f>
        <v>51.25</v>
      </c>
      <c r="E93" s="54">
        <f>52+4</f>
        <v>56</v>
      </c>
      <c r="F93" s="54">
        <f>56-0.5</f>
        <v>55.5</v>
      </c>
      <c r="G93" s="215">
        <f>55+3</f>
        <v>58</v>
      </c>
      <c r="H93" s="54">
        <f>58-3+2</f>
        <v>57</v>
      </c>
      <c r="I93" s="54">
        <v>57</v>
      </c>
      <c r="J93" s="54">
        <v>58</v>
      </c>
      <c r="K93" s="54">
        <f>58+1+1+0.5</f>
        <v>60.5</v>
      </c>
      <c r="L93" s="54">
        <f>61+2+0.5</f>
        <v>63.5</v>
      </c>
      <c r="M93" s="3">
        <f>64+1</f>
        <v>65</v>
      </c>
      <c r="N93" s="7">
        <f>SUM(B93:M93)/12</f>
        <v>56.4375</v>
      </c>
      <c r="O93" s="77"/>
    </row>
    <row r="94" spans="1:15" x14ac:dyDescent="0.25">
      <c r="A94" s="142" t="s">
        <v>16</v>
      </c>
      <c r="B94" s="29">
        <v>0.5</v>
      </c>
      <c r="C94" s="29">
        <v>1</v>
      </c>
      <c r="D94" s="29">
        <v>1</v>
      </c>
      <c r="E94" s="29">
        <v>1</v>
      </c>
      <c r="F94" s="29">
        <v>1</v>
      </c>
      <c r="G94" s="29">
        <v>1</v>
      </c>
      <c r="H94" s="29">
        <v>1</v>
      </c>
      <c r="I94" s="29">
        <v>2</v>
      </c>
      <c r="J94" s="29">
        <v>2</v>
      </c>
      <c r="K94" s="29">
        <f>2-1</f>
        <v>1</v>
      </c>
      <c r="L94" s="29">
        <f>1-1</f>
        <v>0</v>
      </c>
      <c r="M94" s="8">
        <v>0</v>
      </c>
      <c r="N94" s="9">
        <f>SUM(B94:M94)/12</f>
        <v>0.95833333333333337</v>
      </c>
      <c r="O94" s="77"/>
    </row>
    <row r="95" spans="1:15" x14ac:dyDescent="0.25">
      <c r="A95" s="142" t="s">
        <v>17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10"/>
      <c r="N95" s="9">
        <f>SUM(B95:M95)/12</f>
        <v>0</v>
      </c>
      <c r="O95" s="77"/>
    </row>
    <row r="96" spans="1:15" x14ac:dyDescent="0.25">
      <c r="A96" s="142"/>
      <c r="B96" s="10"/>
      <c r="C96" s="10"/>
      <c r="D96" s="10"/>
      <c r="E96" s="10"/>
      <c r="F96" s="10"/>
      <c r="G96" s="10"/>
      <c r="H96" s="8"/>
      <c r="I96" s="10"/>
      <c r="J96" s="10"/>
      <c r="K96" s="10"/>
      <c r="L96" s="10"/>
      <c r="M96" s="10"/>
      <c r="N96" s="11"/>
      <c r="O96" s="78"/>
    </row>
    <row r="97" spans="1:15" x14ac:dyDescent="0.25">
      <c r="A97" s="140" t="s">
        <v>18</v>
      </c>
      <c r="B97" s="3">
        <f>B93+(B95*1.5)+(B94*0.8)</f>
        <v>47.9</v>
      </c>
      <c r="C97" s="3">
        <f>C93+(C95*1.5)+(C94*0.8)</f>
        <v>48.8</v>
      </c>
      <c r="D97" s="3">
        <f>D93+(D95*1.5)+(D94*0.8)</f>
        <v>52.05</v>
      </c>
      <c r="E97" s="3">
        <f>E93+(E95*1.5)+(E94*0.8)</f>
        <v>56.8</v>
      </c>
      <c r="F97" s="3">
        <f>F93+(F95*1.5)+(F94*0.8)</f>
        <v>56.3</v>
      </c>
      <c r="G97" s="3">
        <f t="shared" ref="G97:M97" si="7">G93+(G95*1.5)+(G94*0.8)</f>
        <v>58.8</v>
      </c>
      <c r="H97" s="3">
        <f t="shared" si="7"/>
        <v>57.8</v>
      </c>
      <c r="I97" s="3">
        <f t="shared" si="7"/>
        <v>58.6</v>
      </c>
      <c r="J97" s="3">
        <f t="shared" si="7"/>
        <v>59.6</v>
      </c>
      <c r="K97" s="3">
        <f t="shared" si="7"/>
        <v>61.3</v>
      </c>
      <c r="L97" s="3">
        <f t="shared" si="7"/>
        <v>63.5</v>
      </c>
      <c r="M97" s="3">
        <f t="shared" si="7"/>
        <v>65</v>
      </c>
      <c r="N97" s="9">
        <f>SUM(B97:M97)/12</f>
        <v>57.204166666666673</v>
      </c>
      <c r="O97" s="77"/>
    </row>
    <row r="98" spans="1:15" x14ac:dyDescent="0.25">
      <c r="A98" s="81" t="s">
        <v>19</v>
      </c>
      <c r="B98" s="201">
        <v>1</v>
      </c>
      <c r="C98" s="202">
        <v>1</v>
      </c>
      <c r="D98" s="202">
        <v>4</v>
      </c>
      <c r="E98" s="202">
        <v>4</v>
      </c>
      <c r="F98" s="202">
        <v>0</v>
      </c>
      <c r="G98" s="202">
        <v>3</v>
      </c>
      <c r="H98" s="202">
        <v>2</v>
      </c>
      <c r="I98" s="202">
        <v>1</v>
      </c>
      <c r="J98" s="202">
        <v>1</v>
      </c>
      <c r="K98" s="202">
        <v>2</v>
      </c>
      <c r="L98" s="202">
        <v>3</v>
      </c>
      <c r="M98" s="202">
        <v>1</v>
      </c>
      <c r="N98" s="82">
        <v>7</v>
      </c>
      <c r="O98" s="77"/>
    </row>
    <row r="99" spans="1:15" x14ac:dyDescent="0.25">
      <c r="B99" s="50" t="s">
        <v>141</v>
      </c>
      <c r="C99" s="50"/>
      <c r="D99" s="50" t="s">
        <v>47</v>
      </c>
      <c r="E99" s="50"/>
      <c r="F99" s="50" t="s">
        <v>108</v>
      </c>
      <c r="G99" s="50" t="s">
        <v>142</v>
      </c>
      <c r="H99" s="50"/>
      <c r="I99" s="50" t="s">
        <v>226</v>
      </c>
      <c r="J99" s="50"/>
      <c r="K99" s="50" t="s">
        <v>291</v>
      </c>
      <c r="L99" s="50" t="s">
        <v>242</v>
      </c>
    </row>
    <row r="100" spans="1:15" x14ac:dyDescent="0.25">
      <c r="B100" s="50" t="s">
        <v>140</v>
      </c>
      <c r="C100" s="50"/>
      <c r="D100" s="50"/>
      <c r="E100" s="50"/>
      <c r="F100" s="50"/>
      <c r="G100" s="50"/>
      <c r="H100" s="50"/>
      <c r="I100" s="50"/>
      <c r="J100" s="50"/>
      <c r="K100" s="50" t="s">
        <v>225</v>
      </c>
      <c r="L100" s="50"/>
      <c r="M100" s="50"/>
    </row>
    <row r="101" spans="1:15" x14ac:dyDescent="0.25">
      <c r="K101" s="50" t="s">
        <v>251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4"/>
  <sheetViews>
    <sheetView topLeftCell="A19" workbookViewId="0">
      <selection activeCell="E58" sqref="E58"/>
    </sheetView>
  </sheetViews>
  <sheetFormatPr defaultRowHeight="15" x14ac:dyDescent="0.25"/>
  <sheetData>
    <row r="2" spans="1:15" x14ac:dyDescent="0.25">
      <c r="A2" s="255" t="s">
        <v>309</v>
      </c>
      <c r="B2" s="83"/>
      <c r="C2" s="83"/>
      <c r="D2" s="8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x14ac:dyDescent="0.25">
      <c r="A3" s="69"/>
      <c r="B3" s="70" t="s">
        <v>2</v>
      </c>
      <c r="C3" s="70" t="s">
        <v>3</v>
      </c>
      <c r="D3" s="70" t="s">
        <v>4</v>
      </c>
      <c r="E3" s="70" t="s">
        <v>5</v>
      </c>
      <c r="F3" s="70" t="s">
        <v>6</v>
      </c>
      <c r="G3" s="70" t="s">
        <v>7</v>
      </c>
      <c r="H3" s="70" t="s">
        <v>8</v>
      </c>
      <c r="I3" s="70" t="s">
        <v>9</v>
      </c>
      <c r="J3" s="70" t="s">
        <v>10</v>
      </c>
      <c r="K3" s="70" t="s">
        <v>11</v>
      </c>
      <c r="L3" s="70" t="s">
        <v>12</v>
      </c>
      <c r="M3" s="70" t="s">
        <v>13</v>
      </c>
      <c r="N3" s="71" t="s">
        <v>14</v>
      </c>
      <c r="O3" s="62"/>
    </row>
    <row r="4" spans="1:15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62"/>
    </row>
    <row r="5" spans="1:15" x14ac:dyDescent="0.25">
      <c r="A5" s="71" t="s">
        <v>15</v>
      </c>
      <c r="B5" s="276">
        <f>128+4+0.25</f>
        <v>132.25</v>
      </c>
      <c r="C5" s="277">
        <f>133+8+0.5-0.5</f>
        <v>141</v>
      </c>
      <c r="D5" s="277">
        <f>141-2+1</f>
        <v>140</v>
      </c>
      <c r="E5" s="277">
        <f>140+3+0.75-0.5</f>
        <v>143.25</v>
      </c>
      <c r="F5" s="277">
        <f>143+6</f>
        <v>149</v>
      </c>
      <c r="G5" s="278">
        <f>149-1+4</f>
        <v>152</v>
      </c>
      <c r="H5" s="37">
        <f>155</f>
        <v>155</v>
      </c>
      <c r="I5" s="37">
        <v>156</v>
      </c>
      <c r="J5" s="37">
        <v>159</v>
      </c>
      <c r="K5" s="37">
        <f>159-(58*0.5)+2</f>
        <v>132</v>
      </c>
      <c r="L5" s="37">
        <f>159-58+2+2</f>
        <v>105</v>
      </c>
      <c r="M5" s="3">
        <v>110</v>
      </c>
      <c r="N5" s="7">
        <f>SUM(B5:M5)/12</f>
        <v>139.54166666666666</v>
      </c>
      <c r="O5" s="62"/>
    </row>
    <row r="6" spans="1:15" x14ac:dyDescent="0.25">
      <c r="A6" s="71" t="s">
        <v>16</v>
      </c>
      <c r="B6" s="279">
        <v>1</v>
      </c>
      <c r="C6" s="279">
        <v>1</v>
      </c>
      <c r="D6" s="279">
        <v>1</v>
      </c>
      <c r="E6" s="279">
        <v>1</v>
      </c>
      <c r="F6" s="279">
        <v>1</v>
      </c>
      <c r="G6" s="279">
        <v>1</v>
      </c>
      <c r="H6" s="39">
        <v>1</v>
      </c>
      <c r="I6" s="39">
        <v>1</v>
      </c>
      <c r="J6" s="39">
        <v>1</v>
      </c>
      <c r="K6" s="39">
        <f>1-0.5</f>
        <v>0.5</v>
      </c>
      <c r="L6" s="39">
        <v>0</v>
      </c>
      <c r="M6" s="8">
        <v>0</v>
      </c>
      <c r="N6" s="9">
        <f>SUM(B6:M6)/12</f>
        <v>0.79166666666666663</v>
      </c>
      <c r="O6" s="62"/>
    </row>
    <row r="7" spans="1:15" x14ac:dyDescent="0.25">
      <c r="A7" s="71" t="s">
        <v>17</v>
      </c>
      <c r="B7" s="280"/>
      <c r="C7" s="280"/>
      <c r="D7" s="280"/>
      <c r="E7" s="280"/>
      <c r="F7" s="280"/>
      <c r="G7" s="280">
        <v>1</v>
      </c>
      <c r="H7" s="40"/>
      <c r="I7" s="40"/>
      <c r="J7" s="40"/>
      <c r="K7" s="40"/>
      <c r="L7" s="40"/>
      <c r="M7" s="10"/>
      <c r="N7" s="9">
        <f>SUM(B7:M7)/12</f>
        <v>8.3333333333333329E-2</v>
      </c>
      <c r="O7" s="62"/>
    </row>
    <row r="8" spans="1:15" x14ac:dyDescent="0.25">
      <c r="A8" s="71"/>
      <c r="B8" s="10"/>
      <c r="C8" s="10"/>
      <c r="D8" s="10"/>
      <c r="E8" s="10"/>
      <c r="F8" s="10"/>
      <c r="G8" s="10"/>
      <c r="H8" s="8"/>
      <c r="I8" s="10"/>
      <c r="J8" s="10"/>
      <c r="K8" s="10"/>
      <c r="L8" s="10"/>
      <c r="M8" s="10"/>
      <c r="N8" s="11"/>
      <c r="O8" s="63"/>
    </row>
    <row r="9" spans="1:15" x14ac:dyDescent="0.25">
      <c r="A9" s="69" t="s">
        <v>51</v>
      </c>
      <c r="B9" s="3">
        <f>B5+(B7*1.5)+(B6*0.8)</f>
        <v>133.05000000000001</v>
      </c>
      <c r="C9" s="3">
        <f>C5+(C7*1.5)+(C6*0.8)</f>
        <v>141.80000000000001</v>
      </c>
      <c r="D9" s="3">
        <f>D5+(D7*1.5)+(D6*0.8)</f>
        <v>140.80000000000001</v>
      </c>
      <c r="E9" s="3">
        <f>E5+(E7*1.5)+(E6*0.8)</f>
        <v>144.05000000000001</v>
      </c>
      <c r="F9" s="3">
        <f>F5+(F7*1.5)+(F6*0.8)</f>
        <v>149.80000000000001</v>
      </c>
      <c r="G9" s="3">
        <f t="shared" ref="G9:M9" si="0">G5+(G7*1.5)+(G6*0.8)</f>
        <v>154.30000000000001</v>
      </c>
      <c r="H9" s="3">
        <f t="shared" si="0"/>
        <v>155.80000000000001</v>
      </c>
      <c r="I9" s="3">
        <f t="shared" si="0"/>
        <v>156.80000000000001</v>
      </c>
      <c r="J9" s="3">
        <f t="shared" si="0"/>
        <v>159.80000000000001</v>
      </c>
      <c r="K9" s="3">
        <f t="shared" si="0"/>
        <v>132.4</v>
      </c>
      <c r="L9" s="3">
        <f t="shared" si="0"/>
        <v>105</v>
      </c>
      <c r="M9" s="3">
        <f t="shared" si="0"/>
        <v>110</v>
      </c>
      <c r="N9" s="9">
        <f>SUM(B9:M9)/12</f>
        <v>140.29999999999998</v>
      </c>
      <c r="O9" s="62"/>
    </row>
    <row r="10" spans="1:15" x14ac:dyDescent="0.25">
      <c r="A10" s="130" t="s">
        <v>81</v>
      </c>
      <c r="B10" s="131">
        <v>11</v>
      </c>
      <c r="C10" s="131">
        <v>13</v>
      </c>
      <c r="D10" s="131">
        <v>13</v>
      </c>
      <c r="E10" s="131">
        <v>13</v>
      </c>
      <c r="F10" s="131">
        <f>13-2+1</f>
        <v>12</v>
      </c>
      <c r="G10" s="131">
        <v>12</v>
      </c>
      <c r="H10" s="131">
        <f>12-2+1+0.5</f>
        <v>11.5</v>
      </c>
      <c r="I10" s="131">
        <v>12</v>
      </c>
      <c r="J10" s="131">
        <f>11+1</f>
        <v>12</v>
      </c>
      <c r="K10" s="131">
        <f>12-1</f>
        <v>11</v>
      </c>
      <c r="L10" s="131">
        <f>11-1+2</f>
        <v>12</v>
      </c>
      <c r="M10" s="131">
        <v>12</v>
      </c>
      <c r="N10" s="132">
        <f>SUM(B10+C10+D10+E10+F10+G10+H10+I10+J10+K10+L10+M10)/12</f>
        <v>12.041666666666666</v>
      </c>
      <c r="O10" s="137"/>
    </row>
    <row r="11" spans="1:15" x14ac:dyDescent="0.25">
      <c r="A11" s="130" t="s">
        <v>82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2"/>
      <c r="O11" s="137"/>
    </row>
    <row r="13" spans="1:15" x14ac:dyDescent="0.25">
      <c r="A13" s="212" t="s">
        <v>153</v>
      </c>
      <c r="B13" s="212">
        <v>5</v>
      </c>
      <c r="C13" s="213">
        <v>9</v>
      </c>
      <c r="D13" s="213">
        <v>1</v>
      </c>
      <c r="E13" s="213">
        <v>4</v>
      </c>
      <c r="F13" s="213">
        <v>6</v>
      </c>
      <c r="G13" s="213">
        <v>5</v>
      </c>
      <c r="H13" s="213">
        <v>2</v>
      </c>
      <c r="I13" s="213">
        <v>1</v>
      </c>
      <c r="J13" s="213">
        <v>4</v>
      </c>
      <c r="K13" s="213">
        <v>2</v>
      </c>
      <c r="L13" s="213">
        <v>2</v>
      </c>
      <c r="M13" s="213">
        <v>5</v>
      </c>
      <c r="N13" s="82">
        <f>SUM(B13:M13)</f>
        <v>46</v>
      </c>
      <c r="O13" s="62"/>
    </row>
    <row r="14" spans="1:15" x14ac:dyDescent="0.25">
      <c r="A14" s="212"/>
      <c r="B14" s="212" t="s">
        <v>345</v>
      </c>
      <c r="C14" s="213" t="s">
        <v>346</v>
      </c>
      <c r="D14" s="213" t="s">
        <v>217</v>
      </c>
      <c r="E14" s="84" t="s">
        <v>349</v>
      </c>
      <c r="F14" s="213"/>
      <c r="G14" s="213">
        <v>-150212</v>
      </c>
      <c r="H14" s="213"/>
      <c r="I14" s="213"/>
      <c r="J14" s="237"/>
      <c r="K14" s="237" t="s">
        <v>403</v>
      </c>
      <c r="L14" s="84"/>
      <c r="M14" s="213"/>
      <c r="N14" s="82"/>
      <c r="O14" s="77"/>
    </row>
    <row r="15" spans="1:15" x14ac:dyDescent="0.25">
      <c r="A15" s="265"/>
      <c r="B15" s="265"/>
      <c r="C15" s="266" t="s">
        <v>347</v>
      </c>
      <c r="D15" s="265"/>
      <c r="E15" s="213" t="s">
        <v>348</v>
      </c>
      <c r="F15" s="265" t="s">
        <v>377</v>
      </c>
      <c r="G15" s="265"/>
      <c r="H15" s="267"/>
      <c r="I15" s="267"/>
      <c r="J15" s="235"/>
      <c r="K15" s="261" t="s">
        <v>57</v>
      </c>
      <c r="L15" s="235"/>
      <c r="M15" s="265"/>
      <c r="N15" s="265"/>
    </row>
    <row r="16" spans="1:15" x14ac:dyDescent="0.25">
      <c r="H16" s="182"/>
      <c r="I16" s="23"/>
      <c r="J16" s="287"/>
      <c r="K16" s="182"/>
      <c r="L16" s="23"/>
    </row>
    <row r="17" spans="1:15" x14ac:dyDescent="0.25">
      <c r="A17" s="133" t="s">
        <v>73</v>
      </c>
      <c r="B17" s="133">
        <v>1</v>
      </c>
      <c r="C17" s="133">
        <v>2</v>
      </c>
      <c r="D17" s="133"/>
      <c r="E17" s="133"/>
      <c r="F17" s="133">
        <v>1</v>
      </c>
      <c r="G17" s="133"/>
      <c r="H17" s="236">
        <v>2</v>
      </c>
      <c r="I17" s="133"/>
      <c r="J17" s="133"/>
      <c r="K17" s="133"/>
      <c r="L17" s="133">
        <v>2</v>
      </c>
      <c r="M17" s="133"/>
      <c r="N17" s="133"/>
    </row>
    <row r="18" spans="1:15" x14ac:dyDescent="0.25">
      <c r="A18" s="133"/>
      <c r="B18" s="133"/>
      <c r="C18" s="133"/>
      <c r="D18" s="133"/>
      <c r="E18" s="133" t="s">
        <v>175</v>
      </c>
      <c r="F18" s="133"/>
      <c r="G18" s="133" t="s">
        <v>67</v>
      </c>
      <c r="H18" s="133"/>
      <c r="I18" s="133"/>
      <c r="J18" s="133" t="s">
        <v>77</v>
      </c>
      <c r="K18" s="133" t="s">
        <v>219</v>
      </c>
      <c r="L18" s="133"/>
      <c r="M18" s="133"/>
      <c r="N18" s="133"/>
    </row>
    <row r="19" spans="1:15" x14ac:dyDescent="0.25">
      <c r="A19" s="75"/>
      <c r="B19" s="80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4"/>
      <c r="O19" s="77"/>
    </row>
    <row r="21" spans="1:15" s="23" customFormat="1" x14ac:dyDescent="0.25">
      <c r="A21" s="248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</row>
    <row r="22" spans="1:15" x14ac:dyDescent="0.25">
      <c r="A22" s="221" t="s">
        <v>260</v>
      </c>
      <c r="B22" s="221"/>
      <c r="C22" s="221"/>
      <c r="D22" s="221"/>
    </row>
    <row r="23" spans="1:15" s="1" customFormat="1" x14ac:dyDescent="0.25">
      <c r="A23" s="2"/>
      <c r="B23" s="3" t="s">
        <v>2</v>
      </c>
      <c r="C23" s="3" t="s">
        <v>3</v>
      </c>
      <c r="D23" s="3" t="s">
        <v>4</v>
      </c>
      <c r="E23" s="3" t="s">
        <v>5</v>
      </c>
      <c r="F23" s="3" t="s">
        <v>6</v>
      </c>
      <c r="G23" s="3" t="s">
        <v>7</v>
      </c>
      <c r="H23" s="3" t="s">
        <v>8</v>
      </c>
      <c r="I23" s="3" t="s">
        <v>9</v>
      </c>
      <c r="J23" s="3" t="s">
        <v>10</v>
      </c>
      <c r="K23" s="3" t="s">
        <v>11</v>
      </c>
      <c r="L23" s="3" t="s">
        <v>12</v>
      </c>
      <c r="M23" s="3" t="s">
        <v>13</v>
      </c>
      <c r="N23" s="4" t="s">
        <v>14</v>
      </c>
    </row>
    <row r="24" spans="1:15" s="1" customForma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5" s="1" customFormat="1" x14ac:dyDescent="0.25">
      <c r="A25" s="4" t="s">
        <v>15</v>
      </c>
      <c r="B25" s="5">
        <f>128+4-1</f>
        <v>131</v>
      </c>
      <c r="C25" s="3">
        <v>135</v>
      </c>
      <c r="D25" s="3">
        <v>140</v>
      </c>
      <c r="E25" s="3">
        <v>142</v>
      </c>
      <c r="F25" s="3">
        <v>149</v>
      </c>
      <c r="G25" s="6">
        <v>151</v>
      </c>
      <c r="H25" s="3">
        <v>153</v>
      </c>
      <c r="I25" s="3">
        <v>155</v>
      </c>
      <c r="J25" s="3">
        <v>159</v>
      </c>
      <c r="K25" s="3">
        <f>159-(0.5*56)+2</f>
        <v>133</v>
      </c>
      <c r="L25" s="3">
        <f>159+2+2-56</f>
        <v>107</v>
      </c>
      <c r="M25" s="3">
        <f>107+5</f>
        <v>112</v>
      </c>
      <c r="N25" s="7">
        <f>SUM(B25:M25)/12</f>
        <v>138.91666666666666</v>
      </c>
    </row>
    <row r="26" spans="1:15" s="1" customFormat="1" x14ac:dyDescent="0.25">
      <c r="A26" s="4" t="s">
        <v>16</v>
      </c>
      <c r="B26" s="8">
        <v>1</v>
      </c>
      <c r="C26" s="8">
        <v>1</v>
      </c>
      <c r="D26" s="8">
        <v>1</v>
      </c>
      <c r="E26" s="8">
        <v>1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>
        <f>1-0.5</f>
        <v>0.5</v>
      </c>
      <c r="L26" s="8">
        <f>1-1</f>
        <v>0</v>
      </c>
      <c r="M26" s="8">
        <v>0</v>
      </c>
      <c r="N26" s="9">
        <f>SUM(B26:M26)/12</f>
        <v>0.79166666666666663</v>
      </c>
    </row>
    <row r="27" spans="1:15" s="1" customFormat="1" x14ac:dyDescent="0.25">
      <c r="A27" s="4" t="s">
        <v>17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9">
        <f>SUM(B27:M27)/12</f>
        <v>0</v>
      </c>
    </row>
    <row r="28" spans="1:15" s="1" customFormat="1" x14ac:dyDescent="0.25">
      <c r="A28" s="4"/>
      <c r="B28" s="10"/>
      <c r="C28" s="10"/>
      <c r="D28" s="10"/>
      <c r="E28" s="10"/>
      <c r="F28" s="10"/>
      <c r="G28" s="10"/>
      <c r="H28" s="8"/>
      <c r="I28" s="10"/>
      <c r="J28" s="10"/>
      <c r="K28" s="10"/>
      <c r="L28" s="10"/>
      <c r="M28" s="10"/>
      <c r="N28" s="11"/>
      <c r="O28" s="12"/>
    </row>
    <row r="29" spans="1:15" s="1" customFormat="1" x14ac:dyDescent="0.25">
      <c r="A29" s="2" t="s">
        <v>51</v>
      </c>
      <c r="B29" s="3">
        <f>B25+(B27*1.5)+(B26*0.8)</f>
        <v>131.80000000000001</v>
      </c>
      <c r="C29" s="3">
        <f>C25+(C27*1.5)+(C26*0.8)</f>
        <v>135.80000000000001</v>
      </c>
      <c r="D29" s="3">
        <f>D25+(D27*1.5)+(D26*0.8)</f>
        <v>140.80000000000001</v>
      </c>
      <c r="E29" s="3">
        <f>E25+(E27*1.5)+(E26*0.8)</f>
        <v>142.80000000000001</v>
      </c>
      <c r="F29" s="3">
        <f>F25+(F27*1.5)+(F26*0.8)</f>
        <v>149.80000000000001</v>
      </c>
      <c r="G29" s="3">
        <f t="shared" ref="G29:M29" si="1">G25+(G27*1.5)+(G26*0.8)</f>
        <v>151.80000000000001</v>
      </c>
      <c r="H29" s="3">
        <f t="shared" si="1"/>
        <v>153.80000000000001</v>
      </c>
      <c r="I29" s="3">
        <f t="shared" si="1"/>
        <v>155.80000000000001</v>
      </c>
      <c r="J29" s="3">
        <f t="shared" si="1"/>
        <v>159.80000000000001</v>
      </c>
      <c r="K29" s="3">
        <f t="shared" si="1"/>
        <v>133.4</v>
      </c>
      <c r="L29" s="3">
        <f t="shared" si="1"/>
        <v>107</v>
      </c>
      <c r="M29" s="3">
        <f t="shared" si="1"/>
        <v>112</v>
      </c>
      <c r="N29" s="9">
        <f>SUM(B29:M29)/12</f>
        <v>139.54999999999998</v>
      </c>
    </row>
    <row r="30" spans="1:15" x14ac:dyDescent="0.25">
      <c r="A30" s="130" t="s">
        <v>81</v>
      </c>
      <c r="B30" s="131">
        <v>11</v>
      </c>
      <c r="C30" s="131">
        <v>12</v>
      </c>
      <c r="D30" s="131">
        <v>12</v>
      </c>
      <c r="E30" s="131">
        <v>12</v>
      </c>
      <c r="F30" s="131">
        <v>12</v>
      </c>
      <c r="G30" s="131">
        <v>12</v>
      </c>
      <c r="H30" s="131">
        <v>11</v>
      </c>
      <c r="I30" s="131">
        <v>11</v>
      </c>
      <c r="J30" s="131">
        <v>11</v>
      </c>
      <c r="K30" s="131">
        <v>10</v>
      </c>
      <c r="L30" s="131">
        <v>9</v>
      </c>
      <c r="M30" s="131">
        <v>9</v>
      </c>
      <c r="N30" s="132">
        <f>SUM(B30+C30+D30+E30+F30+G30+H30+I30+J30+K30+L30+M30)/12</f>
        <v>11</v>
      </c>
      <c r="O30" s="137"/>
    </row>
    <row r="31" spans="1:15" x14ac:dyDescent="0.25">
      <c r="A31" s="130" t="s">
        <v>82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2"/>
      <c r="O31" s="137"/>
    </row>
    <row r="33" spans="1:15" x14ac:dyDescent="0.25">
      <c r="A33" s="212" t="s">
        <v>153</v>
      </c>
      <c r="B33" s="212">
        <v>4</v>
      </c>
      <c r="C33" s="213">
        <v>4</v>
      </c>
      <c r="D33" s="213">
        <v>5</v>
      </c>
      <c r="E33" s="213">
        <v>2</v>
      </c>
      <c r="F33" s="213">
        <v>7</v>
      </c>
      <c r="G33" s="213">
        <v>2</v>
      </c>
      <c r="H33" s="213">
        <v>2</v>
      </c>
      <c r="I33" s="213">
        <v>2</v>
      </c>
      <c r="J33" s="213">
        <v>4</v>
      </c>
      <c r="K33" s="213">
        <v>2</v>
      </c>
      <c r="L33" s="213">
        <v>2</v>
      </c>
      <c r="M33" s="213">
        <v>5</v>
      </c>
      <c r="N33" s="82">
        <f>SUM(B33:M33)</f>
        <v>41</v>
      </c>
      <c r="O33" s="77"/>
    </row>
    <row r="34" spans="1:15" x14ac:dyDescent="0.25">
      <c r="A34" s="219"/>
      <c r="B34" s="212" t="s">
        <v>294</v>
      </c>
      <c r="C34" s="213"/>
      <c r="D34" s="213"/>
      <c r="E34" s="213"/>
      <c r="F34" s="213"/>
      <c r="G34" s="213"/>
      <c r="H34" s="213"/>
      <c r="I34" s="213"/>
      <c r="J34" s="213"/>
      <c r="K34" s="220" t="s">
        <v>295</v>
      </c>
      <c r="L34" s="213"/>
      <c r="M34" s="213"/>
      <c r="N34" s="82"/>
      <c r="O34" s="77"/>
    </row>
    <row r="35" spans="1:15" x14ac:dyDescent="0.25">
      <c r="K35" s="84" t="s">
        <v>57</v>
      </c>
    </row>
    <row r="36" spans="1:15" x14ac:dyDescent="0.25">
      <c r="A36" s="133" t="s">
        <v>73</v>
      </c>
      <c r="B36" s="133">
        <v>1</v>
      </c>
      <c r="C36" s="133">
        <v>1</v>
      </c>
      <c r="D36" s="133"/>
      <c r="E36" s="133"/>
      <c r="F36" s="133">
        <v>2</v>
      </c>
      <c r="G36" s="133"/>
      <c r="H36" s="133">
        <v>1</v>
      </c>
      <c r="I36" s="133"/>
      <c r="J36" s="133"/>
      <c r="K36" s="133"/>
      <c r="L36" s="133"/>
      <c r="M36" s="133"/>
      <c r="N36" s="133"/>
    </row>
    <row r="37" spans="1:15" x14ac:dyDescent="0.25">
      <c r="A37" s="133"/>
      <c r="B37" s="133"/>
      <c r="C37" s="133"/>
      <c r="D37" s="133"/>
      <c r="E37" s="133"/>
      <c r="F37" s="133" t="s">
        <v>175</v>
      </c>
      <c r="G37" s="133"/>
      <c r="H37" s="133" t="s">
        <v>259</v>
      </c>
      <c r="I37" s="133"/>
      <c r="J37" s="133"/>
      <c r="K37" s="133" t="s">
        <v>177</v>
      </c>
      <c r="L37" s="133" t="s">
        <v>179</v>
      </c>
      <c r="M37" s="133"/>
      <c r="N37" s="133"/>
    </row>
    <row r="38" spans="1:15" s="23" customFormat="1" x14ac:dyDescent="0.25">
      <c r="A38" s="248"/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</row>
    <row r="39" spans="1:15" x14ac:dyDescent="0.25">
      <c r="A39" s="35" t="s">
        <v>402</v>
      </c>
      <c r="B39" s="72"/>
      <c r="C39" s="72"/>
      <c r="D39" s="72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x14ac:dyDescent="0.25">
      <c r="A40" s="140"/>
      <c r="B40" s="141" t="s">
        <v>2</v>
      </c>
      <c r="C40" s="141" t="s">
        <v>3</v>
      </c>
      <c r="D40" s="141" t="s">
        <v>4</v>
      </c>
      <c r="E40" s="141" t="s">
        <v>5</v>
      </c>
      <c r="F40" s="141" t="s">
        <v>6</v>
      </c>
      <c r="G40" s="141" t="s">
        <v>7</v>
      </c>
      <c r="H40" s="141" t="s">
        <v>8</v>
      </c>
      <c r="I40" s="141" t="s">
        <v>9</v>
      </c>
      <c r="J40" s="141" t="s">
        <v>10</v>
      </c>
      <c r="K40" s="141" t="s">
        <v>11</v>
      </c>
      <c r="L40" s="141" t="s">
        <v>12</v>
      </c>
      <c r="M40" s="141" t="s">
        <v>13</v>
      </c>
      <c r="N40" s="142" t="s">
        <v>14</v>
      </c>
      <c r="O40" s="77"/>
    </row>
    <row r="41" spans="1:15" x14ac:dyDescent="0.25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77"/>
    </row>
    <row r="42" spans="1:15" x14ac:dyDescent="0.25">
      <c r="A42" s="142" t="s">
        <v>15</v>
      </c>
      <c r="B42" s="153">
        <f>110+1</f>
        <v>111</v>
      </c>
      <c r="C42" s="37">
        <v>114</v>
      </c>
      <c r="D42" s="37">
        <f>114+7</f>
        <v>121</v>
      </c>
      <c r="E42" s="37">
        <v>121</v>
      </c>
      <c r="F42" s="37">
        <v>128</v>
      </c>
      <c r="G42" s="38">
        <v>131</v>
      </c>
      <c r="H42" s="37">
        <v>133</v>
      </c>
      <c r="I42" s="37">
        <v>134</v>
      </c>
      <c r="J42" s="37">
        <v>135</v>
      </c>
      <c r="K42" s="37">
        <f>135-(43*0.5)+8</f>
        <v>121.5</v>
      </c>
      <c r="L42" s="37">
        <f>135-43+8+4</f>
        <v>104</v>
      </c>
      <c r="M42" s="37">
        <v>108</v>
      </c>
      <c r="N42" s="7">
        <f>SUM(B42:M42)/12</f>
        <v>121.79166666666667</v>
      </c>
      <c r="O42" s="77"/>
    </row>
    <row r="43" spans="1:15" x14ac:dyDescent="0.25">
      <c r="A43" s="142" t="s">
        <v>16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9">
        <f>SUM(B43:M43)/12</f>
        <v>0</v>
      </c>
      <c r="O43" s="77"/>
    </row>
    <row r="44" spans="1:15" x14ac:dyDescent="0.25">
      <c r="A44" s="142" t="s">
        <v>17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9">
        <f>SUM(B44:M44)/12</f>
        <v>0</v>
      </c>
      <c r="O44" s="77"/>
    </row>
    <row r="45" spans="1:15" x14ac:dyDescent="0.25">
      <c r="A45" s="142"/>
      <c r="B45" s="10"/>
      <c r="C45" s="10"/>
      <c r="D45" s="10"/>
      <c r="E45" s="10"/>
      <c r="F45" s="10"/>
      <c r="G45" s="10"/>
      <c r="H45" s="8"/>
      <c r="I45" s="10"/>
      <c r="J45" s="10"/>
      <c r="K45" s="10"/>
      <c r="L45" s="10"/>
      <c r="M45" s="10"/>
      <c r="N45" s="11"/>
      <c r="O45" s="78"/>
    </row>
    <row r="46" spans="1:15" x14ac:dyDescent="0.25">
      <c r="A46" s="140" t="s">
        <v>51</v>
      </c>
      <c r="B46" s="3">
        <f>B42+(B44*1.5)+(B43*0.8)</f>
        <v>111</v>
      </c>
      <c r="C46" s="3">
        <f>C42+(C44*1.5)+(C43*0.8)</f>
        <v>114</v>
      </c>
      <c r="D46" s="3">
        <f>D42+(D44*1.5)+(D43*0.8)</f>
        <v>121</v>
      </c>
      <c r="E46" s="3">
        <f>E42+(E44*1.5)+(E43*0.8)</f>
        <v>121</v>
      </c>
      <c r="F46" s="3">
        <f>F42+(F44*1.5)+(F43*0.8)</f>
        <v>128</v>
      </c>
      <c r="G46" s="3">
        <f t="shared" ref="G46:M46" si="2">G42+(G44*1.5)+(G43*0.8)</f>
        <v>131</v>
      </c>
      <c r="H46" s="3">
        <f t="shared" si="2"/>
        <v>133</v>
      </c>
      <c r="I46" s="3">
        <f t="shared" si="2"/>
        <v>134</v>
      </c>
      <c r="J46" s="3">
        <f t="shared" si="2"/>
        <v>135</v>
      </c>
      <c r="K46" s="3">
        <f t="shared" si="2"/>
        <v>121.5</v>
      </c>
      <c r="L46" s="3">
        <f t="shared" si="2"/>
        <v>104</v>
      </c>
      <c r="M46" s="3">
        <f t="shared" si="2"/>
        <v>108</v>
      </c>
      <c r="N46" s="9">
        <f>SUM(B46:M46)/12</f>
        <v>121.79166666666667</v>
      </c>
      <c r="O46" s="77"/>
    </row>
    <row r="47" spans="1:15" x14ac:dyDescent="0.25">
      <c r="A47" s="130" t="s">
        <v>81</v>
      </c>
      <c r="B47" s="131">
        <v>13</v>
      </c>
      <c r="C47" s="131">
        <f>13-1</f>
        <v>12</v>
      </c>
      <c r="D47" s="131">
        <f>12-2</f>
        <v>10</v>
      </c>
      <c r="E47" s="131">
        <f>10-1</f>
        <v>9</v>
      </c>
      <c r="F47" s="131">
        <v>9</v>
      </c>
      <c r="G47" s="131">
        <v>9</v>
      </c>
      <c r="H47" s="131">
        <v>9</v>
      </c>
      <c r="I47" s="131">
        <v>9</v>
      </c>
      <c r="J47" s="131">
        <v>9</v>
      </c>
      <c r="K47" s="131">
        <v>9</v>
      </c>
      <c r="L47" s="131">
        <v>9</v>
      </c>
      <c r="M47" s="131">
        <v>9</v>
      </c>
      <c r="N47" s="132">
        <f>SUM(B47+C47+D47+E47+F47+G47+H47+I47+J47+K47+L47+M47)/12</f>
        <v>9.6666666666666661</v>
      </c>
      <c r="O47" s="137"/>
    </row>
    <row r="48" spans="1:15" x14ac:dyDescent="0.25">
      <c r="A48" s="130" t="s">
        <v>82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2"/>
      <c r="O48" s="137"/>
    </row>
    <row r="50" spans="1:15" x14ac:dyDescent="0.25">
      <c r="A50" s="212" t="s">
        <v>153</v>
      </c>
      <c r="B50" s="212">
        <v>1</v>
      </c>
      <c r="C50" s="213">
        <v>3</v>
      </c>
      <c r="D50" s="213">
        <v>7</v>
      </c>
      <c r="E50" s="213">
        <v>0</v>
      </c>
      <c r="F50" s="213">
        <v>7</v>
      </c>
      <c r="G50" s="213">
        <v>3</v>
      </c>
      <c r="H50" s="213">
        <v>2</v>
      </c>
      <c r="I50" s="213">
        <v>1</v>
      </c>
      <c r="J50" s="213">
        <v>1</v>
      </c>
      <c r="K50" s="213">
        <v>8</v>
      </c>
      <c r="L50" s="213">
        <v>4</v>
      </c>
      <c r="M50" s="213">
        <v>4</v>
      </c>
      <c r="N50" s="82">
        <f>SUM(B50:M50)</f>
        <v>41</v>
      </c>
      <c r="O50" s="77"/>
    </row>
    <row r="51" spans="1:15" x14ac:dyDescent="0.25">
      <c r="A51" s="219"/>
      <c r="B51" s="212"/>
      <c r="C51" s="213"/>
      <c r="D51" s="213"/>
      <c r="E51" s="265"/>
      <c r="F51" s="213"/>
      <c r="G51" s="213"/>
      <c r="H51" s="213"/>
      <c r="I51" s="213"/>
      <c r="J51" s="213"/>
      <c r="K51" s="213" t="s">
        <v>404</v>
      </c>
      <c r="L51" s="206"/>
      <c r="M51" s="213"/>
      <c r="N51" s="82"/>
      <c r="O51" s="77"/>
    </row>
    <row r="52" spans="1:15" x14ac:dyDescent="0.25">
      <c r="C52" s="284"/>
      <c r="D52" s="172"/>
      <c r="E52" s="79"/>
      <c r="F52" s="172"/>
      <c r="G52" s="172"/>
      <c r="H52" s="285"/>
      <c r="I52" s="171"/>
      <c r="J52" s="181"/>
      <c r="K52" s="286"/>
      <c r="L52" s="181"/>
    </row>
    <row r="53" spans="1:15" x14ac:dyDescent="0.25">
      <c r="C53" s="172"/>
      <c r="D53" s="172"/>
      <c r="E53" s="172"/>
      <c r="F53" s="172"/>
      <c r="G53" s="172"/>
      <c r="H53" s="285"/>
      <c r="I53" s="171"/>
      <c r="J53" s="181"/>
      <c r="K53" s="285"/>
      <c r="L53" s="171"/>
    </row>
    <row r="54" spans="1:15" x14ac:dyDescent="0.25">
      <c r="A54" s="133" t="s">
        <v>73</v>
      </c>
      <c r="B54" s="133">
        <v>1</v>
      </c>
      <c r="C54" s="133"/>
      <c r="D54" s="133"/>
      <c r="E54" s="133"/>
      <c r="F54" s="133"/>
      <c r="G54" s="133"/>
      <c r="H54" s="236"/>
      <c r="I54" s="133"/>
      <c r="J54" s="133"/>
      <c r="K54" s="133"/>
      <c r="L54" s="133"/>
      <c r="M54" s="133"/>
      <c r="N54" s="133"/>
    </row>
    <row r="55" spans="1:15" x14ac:dyDescent="0.25">
      <c r="A55" s="133"/>
      <c r="B55" s="133" t="s">
        <v>64</v>
      </c>
      <c r="C55" s="133" t="s">
        <v>217</v>
      </c>
      <c r="D55" s="133" t="s">
        <v>59</v>
      </c>
      <c r="E55" s="133"/>
      <c r="F55" s="133"/>
      <c r="G55" s="133"/>
      <c r="H55" s="133"/>
      <c r="I55" s="133"/>
      <c r="J55" s="133"/>
      <c r="K55" s="133"/>
      <c r="L55" s="133"/>
      <c r="M55" s="133"/>
      <c r="N55" s="133"/>
    </row>
    <row r="56" spans="1:15" x14ac:dyDescent="0.25">
      <c r="A56" s="75"/>
      <c r="B56" s="80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4"/>
      <c r="O56" s="77"/>
    </row>
    <row r="60" spans="1:15" x14ac:dyDescent="0.25">
      <c r="A60" s="189" t="s">
        <v>126</v>
      </c>
      <c r="B60" s="189"/>
      <c r="C60" s="189"/>
      <c r="D60" s="189"/>
    </row>
    <row r="61" spans="1:15" s="1" customFormat="1" x14ac:dyDescent="0.25">
      <c r="A61" s="2"/>
      <c r="B61" s="3" t="s">
        <v>2</v>
      </c>
      <c r="C61" s="3" t="s">
        <v>3</v>
      </c>
      <c r="D61" s="3" t="s">
        <v>4</v>
      </c>
      <c r="E61" s="3" t="s">
        <v>5</v>
      </c>
      <c r="F61" s="3" t="s">
        <v>6</v>
      </c>
      <c r="G61" s="3" t="s">
        <v>7</v>
      </c>
      <c r="H61" s="3" t="s">
        <v>8</v>
      </c>
      <c r="I61" s="3" t="s">
        <v>9</v>
      </c>
      <c r="J61" s="3" t="s">
        <v>10</v>
      </c>
      <c r="K61" s="3" t="s">
        <v>11</v>
      </c>
      <c r="L61" s="3" t="s">
        <v>12</v>
      </c>
      <c r="M61" s="3" t="s">
        <v>13</v>
      </c>
      <c r="N61" s="4" t="s">
        <v>14</v>
      </c>
    </row>
    <row r="62" spans="1:15" s="1" customForma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5" s="1" customFormat="1" x14ac:dyDescent="0.25">
      <c r="A63" s="4" t="s">
        <v>15</v>
      </c>
      <c r="B63" s="5">
        <f>127+3</f>
        <v>130</v>
      </c>
      <c r="C63" s="3">
        <v>132</v>
      </c>
      <c r="D63" s="3">
        <v>135</v>
      </c>
      <c r="E63" s="3">
        <v>137</v>
      </c>
      <c r="F63" s="3">
        <f>143</f>
        <v>143</v>
      </c>
      <c r="G63" s="6">
        <v>145</v>
      </c>
      <c r="H63" s="3">
        <v>147</v>
      </c>
      <c r="I63" s="3">
        <v>149</v>
      </c>
      <c r="J63" s="3">
        <v>154</v>
      </c>
      <c r="K63" s="3">
        <f>154+3-(54*0.5)</f>
        <v>130</v>
      </c>
      <c r="L63" s="3">
        <f>103+2</f>
        <v>105</v>
      </c>
      <c r="M63" s="3">
        <v>111</v>
      </c>
      <c r="N63" s="7">
        <f>SUM(B63:M63)/12</f>
        <v>134.83333333333334</v>
      </c>
    </row>
    <row r="64" spans="1:15" s="1" customFormat="1" x14ac:dyDescent="0.25">
      <c r="A64" s="4" t="s">
        <v>16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>
        <f>SUM(B64:M64)/12</f>
        <v>0</v>
      </c>
    </row>
    <row r="65" spans="1:15" s="1" customFormat="1" x14ac:dyDescent="0.25">
      <c r="A65" s="4" t="s">
        <v>17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9">
        <f>SUM(B65:M65)/12</f>
        <v>0</v>
      </c>
    </row>
    <row r="66" spans="1:15" s="1" customFormat="1" x14ac:dyDescent="0.25">
      <c r="A66" s="4"/>
      <c r="B66" s="10"/>
      <c r="C66" s="10"/>
      <c r="D66" s="10"/>
      <c r="E66" s="10"/>
      <c r="F66" s="10"/>
      <c r="G66" s="10"/>
      <c r="H66" s="8"/>
      <c r="I66" s="10"/>
      <c r="J66" s="10"/>
      <c r="K66" s="10"/>
      <c r="L66" s="10"/>
      <c r="M66" s="10"/>
      <c r="N66" s="11"/>
      <c r="O66" s="12"/>
    </row>
    <row r="67" spans="1:15" s="1" customFormat="1" x14ac:dyDescent="0.25">
      <c r="A67" s="2" t="s">
        <v>51</v>
      </c>
      <c r="B67" s="3">
        <f>B63+(B65*1.5)+(B64*0.8)</f>
        <v>130</v>
      </c>
      <c r="C67" s="3">
        <f>C63+(C65*1.5)+(C64*0.8)</f>
        <v>132</v>
      </c>
      <c r="D67" s="3">
        <f>D63+(D65*1.5)+(D64*0.8)</f>
        <v>135</v>
      </c>
      <c r="E67" s="3">
        <f>E63+(E65*1.5)+(E64*0.8)</f>
        <v>137</v>
      </c>
      <c r="F67" s="3">
        <f>F63+(F65*1.5)+(F64*0.8)</f>
        <v>143</v>
      </c>
      <c r="G67" s="3">
        <f t="shared" ref="G67:M67" si="3">G63+(G65*1.5)+(G64*0.8)</f>
        <v>145</v>
      </c>
      <c r="H67" s="3">
        <f t="shared" si="3"/>
        <v>147</v>
      </c>
      <c r="I67" s="3">
        <f t="shared" si="3"/>
        <v>149</v>
      </c>
      <c r="J67" s="3">
        <f t="shared" si="3"/>
        <v>154</v>
      </c>
      <c r="K67" s="3">
        <f t="shared" si="3"/>
        <v>130</v>
      </c>
      <c r="L67" s="3">
        <f t="shared" si="3"/>
        <v>105</v>
      </c>
      <c r="M67" s="3">
        <f t="shared" si="3"/>
        <v>111</v>
      </c>
      <c r="N67" s="9">
        <f>SUM(B67:M67)/12</f>
        <v>134.83333333333334</v>
      </c>
    </row>
    <row r="68" spans="1:15" x14ac:dyDescent="0.25">
      <c r="A68" s="130" t="s">
        <v>81</v>
      </c>
      <c r="B68" s="131">
        <v>9</v>
      </c>
      <c r="C68" s="131">
        <v>9</v>
      </c>
      <c r="D68" s="131">
        <v>9</v>
      </c>
      <c r="E68" s="131">
        <v>9</v>
      </c>
      <c r="F68" s="131">
        <v>7</v>
      </c>
      <c r="G68" s="131">
        <v>7</v>
      </c>
      <c r="H68" s="131">
        <v>6</v>
      </c>
      <c r="I68" s="131">
        <v>6</v>
      </c>
      <c r="J68" s="131">
        <v>5</v>
      </c>
      <c r="K68" s="131">
        <v>4</v>
      </c>
      <c r="L68" s="131">
        <v>3</v>
      </c>
      <c r="M68" s="131">
        <v>3</v>
      </c>
      <c r="N68" s="132">
        <f>SUM(B68+C68+D68+E68+F68+G68+H68+I68+J68+K68+L68+M68)/12</f>
        <v>6.416666666666667</v>
      </c>
      <c r="O68" s="137"/>
    </row>
    <row r="69" spans="1:15" x14ac:dyDescent="0.25">
      <c r="A69" s="130" t="s">
        <v>82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2"/>
      <c r="O69" s="137"/>
    </row>
    <row r="71" spans="1:15" x14ac:dyDescent="0.25">
      <c r="A71" s="212" t="s">
        <v>153</v>
      </c>
      <c r="B71" s="212">
        <v>3</v>
      </c>
      <c r="C71" s="213">
        <v>2</v>
      </c>
      <c r="D71" s="213">
        <v>3</v>
      </c>
      <c r="E71" s="213">
        <v>2</v>
      </c>
      <c r="F71" s="213">
        <v>6</v>
      </c>
      <c r="G71" s="213">
        <v>2</v>
      </c>
      <c r="H71" s="213">
        <v>2</v>
      </c>
      <c r="I71" s="213">
        <v>2</v>
      </c>
      <c r="J71" s="213">
        <v>5</v>
      </c>
      <c r="K71" s="213">
        <v>3</v>
      </c>
      <c r="L71" s="213">
        <v>2</v>
      </c>
      <c r="M71" s="213">
        <v>6</v>
      </c>
      <c r="N71" s="82">
        <f>SUM(B71:M71)</f>
        <v>38</v>
      </c>
      <c r="O71" s="77"/>
    </row>
    <row r="72" spans="1:15" x14ac:dyDescent="0.25">
      <c r="A72" s="219"/>
      <c r="B72" s="212"/>
      <c r="C72" s="213"/>
      <c r="D72" s="213"/>
      <c r="E72" s="213"/>
      <c r="F72" s="213"/>
      <c r="G72" s="213"/>
      <c r="H72" s="213"/>
      <c r="I72" s="213"/>
      <c r="J72" s="213"/>
      <c r="K72" s="220" t="s">
        <v>166</v>
      </c>
      <c r="L72" s="213"/>
      <c r="M72" s="213"/>
      <c r="N72" s="82"/>
      <c r="O72" s="77"/>
    </row>
    <row r="74" spans="1:15" x14ac:dyDescent="0.25">
      <c r="A74" s="133" t="s">
        <v>73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</row>
    <row r="75" spans="1:15" x14ac:dyDescent="0.25">
      <c r="A75" s="133"/>
      <c r="B75" s="133"/>
      <c r="C75" s="133"/>
      <c r="D75" s="133"/>
      <c r="E75" s="133"/>
      <c r="F75" s="133" t="s">
        <v>175</v>
      </c>
      <c r="G75" s="133"/>
      <c r="H75" s="133" t="s">
        <v>176</v>
      </c>
      <c r="I75" s="133"/>
      <c r="J75" s="133" t="s">
        <v>178</v>
      </c>
      <c r="K75" s="133" t="s">
        <v>177</v>
      </c>
      <c r="L75" s="133" t="s">
        <v>179</v>
      </c>
      <c r="M75" s="133"/>
      <c r="N75" s="133"/>
    </row>
    <row r="77" spans="1:15" x14ac:dyDescent="0.25">
      <c r="A77" s="135" t="s">
        <v>0</v>
      </c>
      <c r="B77" s="129"/>
      <c r="C77" s="129"/>
      <c r="D77" s="129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</row>
    <row r="78" spans="1:15" x14ac:dyDescent="0.25">
      <c r="A78" s="117" t="s">
        <v>80</v>
      </c>
      <c r="B78" s="118" t="s">
        <v>2</v>
      </c>
      <c r="C78" s="118" t="s">
        <v>3</v>
      </c>
      <c r="D78" s="118" t="s">
        <v>4</v>
      </c>
      <c r="E78" s="118" t="s">
        <v>5</v>
      </c>
      <c r="F78" s="118" t="s">
        <v>6</v>
      </c>
      <c r="G78" s="118" t="s">
        <v>7</v>
      </c>
      <c r="H78" s="118" t="s">
        <v>8</v>
      </c>
      <c r="I78" s="118" t="s">
        <v>9</v>
      </c>
      <c r="J78" s="118" t="s">
        <v>10</v>
      </c>
      <c r="K78" s="118" t="s">
        <v>11</v>
      </c>
      <c r="L78" s="118" t="s">
        <v>12</v>
      </c>
      <c r="M78" s="118" t="s">
        <v>13</v>
      </c>
      <c r="N78" s="119" t="s">
        <v>14</v>
      </c>
      <c r="O78" s="112"/>
    </row>
    <row r="79" spans="1:15" x14ac:dyDescent="0.25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2"/>
    </row>
    <row r="80" spans="1:15" x14ac:dyDescent="0.25">
      <c r="A80" s="119" t="s">
        <v>15</v>
      </c>
      <c r="B80" s="125">
        <v>134</v>
      </c>
      <c r="C80" s="118">
        <v>138</v>
      </c>
      <c r="D80" s="118">
        <v>140</v>
      </c>
      <c r="E80" s="118">
        <v>141</v>
      </c>
      <c r="F80" s="118">
        <v>147</v>
      </c>
      <c r="G80" s="126">
        <v>150</v>
      </c>
      <c r="H80" s="118">
        <v>152</v>
      </c>
      <c r="I80" s="118">
        <v>155</v>
      </c>
      <c r="J80" s="118">
        <v>163</v>
      </c>
      <c r="K80" s="118">
        <v>143</v>
      </c>
      <c r="L80" s="118">
        <v>120</v>
      </c>
      <c r="M80" s="118">
        <v>128</v>
      </c>
      <c r="N80" s="120">
        <v>142.58333333333334</v>
      </c>
      <c r="O80" s="112"/>
    </row>
    <row r="81" spans="1:15" x14ac:dyDescent="0.25">
      <c r="A81" s="119" t="s">
        <v>16</v>
      </c>
      <c r="B81" s="121">
        <v>1</v>
      </c>
      <c r="C81" s="121">
        <v>1</v>
      </c>
      <c r="D81" s="121">
        <v>1</v>
      </c>
      <c r="E81" s="121">
        <v>1</v>
      </c>
      <c r="F81" s="121">
        <v>1</v>
      </c>
      <c r="G81" s="121">
        <v>1</v>
      </c>
      <c r="H81" s="121">
        <v>1</v>
      </c>
      <c r="I81" s="121">
        <v>1</v>
      </c>
      <c r="J81" s="121">
        <v>1</v>
      </c>
      <c r="K81" s="121">
        <v>0.5</v>
      </c>
      <c r="L81" s="121">
        <v>0</v>
      </c>
      <c r="M81" s="121">
        <v>0</v>
      </c>
      <c r="N81" s="122">
        <v>0.79166666666666663</v>
      </c>
      <c r="O81" s="112"/>
    </row>
    <row r="82" spans="1:15" x14ac:dyDescent="0.25">
      <c r="A82" s="119" t="s">
        <v>17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2">
        <v>0</v>
      </c>
      <c r="O82" s="112"/>
    </row>
    <row r="83" spans="1:15" x14ac:dyDescent="0.25">
      <c r="A83" s="119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2"/>
      <c r="O83" s="112"/>
    </row>
    <row r="84" spans="1:15" x14ac:dyDescent="0.25">
      <c r="A84" s="130" t="s">
        <v>81</v>
      </c>
      <c r="B84" s="131">
        <v>11.5</v>
      </c>
      <c r="C84" s="131">
        <v>12</v>
      </c>
      <c r="D84" s="131">
        <v>12</v>
      </c>
      <c r="E84" s="131">
        <v>12</v>
      </c>
      <c r="F84" s="131">
        <v>12</v>
      </c>
      <c r="G84" s="131">
        <v>12</v>
      </c>
      <c r="H84" s="131">
        <v>12</v>
      </c>
      <c r="I84" s="131">
        <v>11</v>
      </c>
      <c r="J84" s="131">
        <v>10</v>
      </c>
      <c r="K84" s="131">
        <v>9</v>
      </c>
      <c r="L84" s="131">
        <v>9</v>
      </c>
      <c r="M84" s="131">
        <v>7</v>
      </c>
      <c r="N84" s="132">
        <v>10.791666666666666</v>
      </c>
      <c r="O84" s="112"/>
    </row>
    <row r="85" spans="1:15" x14ac:dyDescent="0.25">
      <c r="A85" s="130" t="s">
        <v>82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2"/>
      <c r="O85" s="112"/>
    </row>
    <row r="86" spans="1:15" x14ac:dyDescent="0.25">
      <c r="A86" s="119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2"/>
      <c r="O86" s="112"/>
    </row>
    <row r="87" spans="1:15" x14ac:dyDescent="0.25">
      <c r="A87" s="119"/>
      <c r="B87" s="123"/>
      <c r="C87" s="123"/>
      <c r="D87" s="123"/>
      <c r="E87" s="123"/>
      <c r="F87" s="123"/>
      <c r="G87" s="123"/>
      <c r="H87" s="121"/>
      <c r="I87" s="123"/>
      <c r="J87" s="123"/>
      <c r="K87" s="123"/>
      <c r="L87" s="123"/>
      <c r="M87" s="123"/>
      <c r="N87" s="124"/>
      <c r="O87" s="113"/>
    </row>
    <row r="88" spans="1:15" x14ac:dyDescent="0.25">
      <c r="A88" s="117" t="s">
        <v>18</v>
      </c>
      <c r="B88" s="118">
        <v>134.80000000000001</v>
      </c>
      <c r="C88" s="118">
        <v>138.80000000000001</v>
      </c>
      <c r="D88" s="118">
        <v>140.80000000000001</v>
      </c>
      <c r="E88" s="118">
        <v>141.80000000000001</v>
      </c>
      <c r="F88" s="118">
        <v>147.80000000000001</v>
      </c>
      <c r="G88" s="118">
        <v>150.80000000000001</v>
      </c>
      <c r="H88" s="118">
        <v>152.80000000000001</v>
      </c>
      <c r="I88" s="118">
        <v>155.80000000000001</v>
      </c>
      <c r="J88" s="118">
        <v>163.80000000000001</v>
      </c>
      <c r="K88" s="118">
        <v>143.4</v>
      </c>
      <c r="L88" s="118">
        <v>120</v>
      </c>
      <c r="M88" s="118">
        <v>128</v>
      </c>
      <c r="N88" s="122">
        <v>143.21666666666667</v>
      </c>
    </row>
    <row r="89" spans="1:15" x14ac:dyDescent="0.25">
      <c r="A89" s="127" t="s">
        <v>19</v>
      </c>
      <c r="B89" s="116">
        <v>3</v>
      </c>
      <c r="C89" s="115">
        <v>4</v>
      </c>
      <c r="D89" s="115">
        <v>2</v>
      </c>
      <c r="E89" s="115">
        <v>1</v>
      </c>
      <c r="F89" s="115">
        <v>6</v>
      </c>
      <c r="G89" s="115">
        <v>3</v>
      </c>
      <c r="H89" s="115">
        <v>2</v>
      </c>
      <c r="I89" s="115">
        <v>3</v>
      </c>
      <c r="J89" s="115">
        <v>5</v>
      </c>
      <c r="K89" s="115">
        <v>5</v>
      </c>
      <c r="L89" s="115">
        <v>2</v>
      </c>
      <c r="M89" s="115">
        <v>8</v>
      </c>
      <c r="N89" s="128">
        <v>44</v>
      </c>
    </row>
    <row r="90" spans="1:15" x14ac:dyDescent="0.25">
      <c r="A90" s="111"/>
      <c r="B90" s="111"/>
      <c r="C90" s="111"/>
      <c r="D90" s="114" t="s">
        <v>83</v>
      </c>
      <c r="E90" s="111"/>
      <c r="F90" s="111"/>
      <c r="G90" s="111"/>
      <c r="H90" s="111"/>
      <c r="I90" s="111"/>
      <c r="J90" s="111"/>
      <c r="K90" s="134" t="s">
        <v>84</v>
      </c>
      <c r="L90" s="111"/>
      <c r="M90" s="111"/>
      <c r="N90" s="111"/>
    </row>
    <row r="91" spans="1:15" x14ac:dyDescent="0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34" t="s">
        <v>85</v>
      </c>
      <c r="L91" s="111"/>
      <c r="M91" s="111"/>
      <c r="N91" s="111"/>
    </row>
    <row r="92" spans="1:15" x14ac:dyDescent="0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34" t="s">
        <v>86</v>
      </c>
      <c r="L92" s="111"/>
      <c r="M92" s="111"/>
      <c r="N92" s="111"/>
    </row>
    <row r="93" spans="1:15" x14ac:dyDescent="0.25">
      <c r="A93" s="133" t="s">
        <v>73</v>
      </c>
      <c r="B93" s="133">
        <v>1</v>
      </c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</row>
    <row r="94" spans="1:15" x14ac:dyDescent="0.25">
      <c r="A94" s="133"/>
      <c r="B94" s="133"/>
      <c r="C94" s="133"/>
      <c r="D94" s="133"/>
      <c r="E94" s="133"/>
      <c r="F94" s="133"/>
      <c r="G94" s="133"/>
      <c r="H94" s="133"/>
      <c r="I94" s="133" t="s">
        <v>75</v>
      </c>
      <c r="J94" s="133" t="s">
        <v>53</v>
      </c>
      <c r="K94" s="133" t="s">
        <v>77</v>
      </c>
      <c r="L94" s="133"/>
      <c r="M94" s="133" t="s">
        <v>87</v>
      </c>
      <c r="N94" s="133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6"/>
  <sheetViews>
    <sheetView topLeftCell="A6" workbookViewId="0">
      <selection activeCell="N27" sqref="N27"/>
    </sheetView>
  </sheetViews>
  <sheetFormatPr defaultRowHeight="15" x14ac:dyDescent="0.25"/>
  <sheetData>
    <row r="2" spans="1:15" s="172" customFormat="1" x14ac:dyDescent="0.25">
      <c r="A2" s="299" t="s">
        <v>374</v>
      </c>
      <c r="B2" s="300"/>
      <c r="C2" s="300"/>
      <c r="D2" s="300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5" s="172" customFormat="1" x14ac:dyDescent="0.25">
      <c r="A3" s="140"/>
      <c r="B3" s="141" t="s">
        <v>2</v>
      </c>
      <c r="C3" s="141" t="s">
        <v>3</v>
      </c>
      <c r="D3" s="141" t="s">
        <v>4</v>
      </c>
      <c r="E3" s="141" t="s">
        <v>5</v>
      </c>
      <c r="F3" s="141" t="s">
        <v>6</v>
      </c>
      <c r="G3" s="141" t="s">
        <v>7</v>
      </c>
      <c r="H3" s="141" t="s">
        <v>8</v>
      </c>
      <c r="I3" s="141" t="s">
        <v>9</v>
      </c>
      <c r="J3" s="141" t="s">
        <v>10</v>
      </c>
      <c r="K3" s="141" t="s">
        <v>11</v>
      </c>
      <c r="L3" s="141" t="s">
        <v>12</v>
      </c>
      <c r="M3" s="141" t="s">
        <v>13</v>
      </c>
      <c r="N3" s="142" t="s">
        <v>14</v>
      </c>
      <c r="O3" s="292"/>
    </row>
    <row r="4" spans="1:15" s="172" customFormat="1" x14ac:dyDescent="0.2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292"/>
    </row>
    <row r="5" spans="1:15" s="172" customFormat="1" x14ac:dyDescent="0.25">
      <c r="A5" s="142" t="s">
        <v>15</v>
      </c>
      <c r="B5" s="276">
        <v>24.75</v>
      </c>
      <c r="C5" s="277">
        <f>25+1+0.75</f>
        <v>26.75</v>
      </c>
      <c r="D5" s="277">
        <f>27+1</f>
        <v>28</v>
      </c>
      <c r="E5" s="277">
        <f>28+2+0.5</f>
        <v>30.5</v>
      </c>
      <c r="F5" s="277">
        <f>31+1</f>
        <v>32</v>
      </c>
      <c r="G5" s="301">
        <v>33</v>
      </c>
      <c r="H5" s="37">
        <v>33</v>
      </c>
      <c r="I5" s="37">
        <v>34</v>
      </c>
      <c r="J5" s="37">
        <v>34</v>
      </c>
      <c r="K5" s="37">
        <v>34</v>
      </c>
      <c r="L5" s="37">
        <v>34</v>
      </c>
      <c r="M5" s="3">
        <v>34</v>
      </c>
      <c r="N5" s="7">
        <f>SUM(B5:M5)/12</f>
        <v>31.5</v>
      </c>
      <c r="O5" s="292"/>
    </row>
    <row r="6" spans="1:15" s="172" customFormat="1" x14ac:dyDescent="0.25">
      <c r="A6" s="142" t="s">
        <v>16</v>
      </c>
      <c r="B6" s="279"/>
      <c r="C6" s="279"/>
      <c r="D6" s="279"/>
      <c r="E6" s="279"/>
      <c r="F6" s="279"/>
      <c r="G6" s="279"/>
      <c r="H6" s="39"/>
      <c r="I6" s="39"/>
      <c r="J6" s="39"/>
      <c r="K6" s="39"/>
      <c r="L6" s="39"/>
      <c r="M6" s="8"/>
      <c r="N6" s="9">
        <f>SUM(B6:M6)/12</f>
        <v>0</v>
      </c>
      <c r="O6" s="292"/>
    </row>
    <row r="7" spans="1:15" s="172" customFormat="1" x14ac:dyDescent="0.25">
      <c r="A7" s="142" t="s">
        <v>17</v>
      </c>
      <c r="B7" s="280"/>
      <c r="C7" s="280"/>
      <c r="D7" s="280"/>
      <c r="E7" s="280"/>
      <c r="F7" s="280"/>
      <c r="G7" s="280"/>
      <c r="H7" s="40"/>
      <c r="I7" s="40"/>
      <c r="J7" s="40"/>
      <c r="K7" s="40"/>
      <c r="L7" s="40"/>
      <c r="M7" s="10"/>
      <c r="N7" s="9">
        <f>SUM(B7:M7)/12</f>
        <v>0</v>
      </c>
      <c r="O7" s="292"/>
    </row>
    <row r="8" spans="1:15" s="172" customFormat="1" x14ac:dyDescent="0.25">
      <c r="A8" s="142"/>
      <c r="B8" s="10"/>
      <c r="C8" s="10"/>
      <c r="D8" s="10"/>
      <c r="E8" s="10"/>
      <c r="F8" s="10"/>
      <c r="G8" s="10"/>
      <c r="H8" s="8"/>
      <c r="I8" s="10"/>
      <c r="J8" s="10"/>
      <c r="K8" s="10"/>
      <c r="L8" s="10"/>
      <c r="M8" s="10"/>
      <c r="N8" s="11"/>
      <c r="O8" s="294"/>
    </row>
    <row r="9" spans="1:15" s="172" customFormat="1" x14ac:dyDescent="0.25">
      <c r="A9" s="140" t="s">
        <v>51</v>
      </c>
      <c r="B9" s="3">
        <f>B5+(B7*1.5)+(B6*0.8)</f>
        <v>24.75</v>
      </c>
      <c r="C9" s="3">
        <f>C5+(C7*1.5)+(C6*0.8)</f>
        <v>26.75</v>
      </c>
      <c r="D9" s="3">
        <f>D5+(D7*1.5)+(D6*0.8)</f>
        <v>28</v>
      </c>
      <c r="E9" s="3">
        <f>E5+(E7*1.5)+(E6*0.8)</f>
        <v>30.5</v>
      </c>
      <c r="F9" s="3">
        <f>F5+(F7*1.5)+(F6*0.8)</f>
        <v>32</v>
      </c>
      <c r="G9" s="3">
        <f t="shared" ref="G9:M9" si="0">G5+(G7*1.5)+(G6*0.8)</f>
        <v>33</v>
      </c>
      <c r="H9" s="3">
        <f t="shared" si="0"/>
        <v>33</v>
      </c>
      <c r="I9" s="3">
        <f t="shared" si="0"/>
        <v>34</v>
      </c>
      <c r="J9" s="3">
        <f t="shared" si="0"/>
        <v>34</v>
      </c>
      <c r="K9" s="3">
        <f t="shared" si="0"/>
        <v>34</v>
      </c>
      <c r="L9" s="3">
        <f t="shared" si="0"/>
        <v>34</v>
      </c>
      <c r="M9" s="3">
        <f t="shared" si="0"/>
        <v>34</v>
      </c>
      <c r="N9" s="9">
        <f>SUM(B9:M9)/12</f>
        <v>31.5</v>
      </c>
      <c r="O9" s="292"/>
    </row>
    <row r="10" spans="1:15" s="172" customFormat="1" x14ac:dyDescent="0.25">
      <c r="A10" s="81" t="s">
        <v>19</v>
      </c>
      <c r="B10" s="295">
        <v>2</v>
      </c>
      <c r="C10" s="79">
        <v>2</v>
      </c>
      <c r="D10" s="79">
        <v>1</v>
      </c>
      <c r="E10" s="79">
        <v>3</v>
      </c>
      <c r="F10" s="79">
        <v>1</v>
      </c>
      <c r="G10" s="79">
        <v>1</v>
      </c>
      <c r="H10" s="79">
        <v>0</v>
      </c>
      <c r="I10" s="79">
        <v>1</v>
      </c>
      <c r="J10" s="79"/>
      <c r="K10" s="79"/>
      <c r="L10" s="79"/>
      <c r="M10" s="79"/>
      <c r="N10" s="82">
        <v>7</v>
      </c>
      <c r="O10" s="292"/>
    </row>
    <row r="11" spans="1:15" s="296" customFormat="1" x14ac:dyDescent="0.25">
      <c r="B11" s="296" t="s">
        <v>417</v>
      </c>
      <c r="C11" s="296" t="s">
        <v>418</v>
      </c>
      <c r="E11" s="296" t="s">
        <v>419</v>
      </c>
      <c r="J11" s="297"/>
      <c r="K11" s="298"/>
    </row>
    <row r="12" spans="1:15" x14ac:dyDescent="0.25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</row>
    <row r="13" spans="1:15" x14ac:dyDescent="0.25">
      <c r="A13" s="221" t="s">
        <v>260</v>
      </c>
      <c r="B13" s="221"/>
      <c r="C13" s="221"/>
      <c r="D13" s="221"/>
    </row>
    <row r="14" spans="1:15" s="1" customFormat="1" x14ac:dyDescent="0.25">
      <c r="A14" s="2"/>
      <c r="B14" s="3" t="s">
        <v>2</v>
      </c>
      <c r="C14" s="3" t="s">
        <v>3</v>
      </c>
      <c r="D14" s="3" t="s">
        <v>4</v>
      </c>
      <c r="E14" s="3" t="s">
        <v>5</v>
      </c>
      <c r="F14" s="3" t="s">
        <v>6</v>
      </c>
      <c r="G14" s="3" t="s">
        <v>7</v>
      </c>
      <c r="H14" s="3" t="s">
        <v>8</v>
      </c>
      <c r="I14" s="3" t="s">
        <v>9</v>
      </c>
      <c r="J14" s="3" t="s">
        <v>10</v>
      </c>
      <c r="K14" s="3" t="s">
        <v>11</v>
      </c>
      <c r="L14" s="3" t="s">
        <v>12</v>
      </c>
      <c r="M14" s="3" t="s">
        <v>13</v>
      </c>
      <c r="N14" s="4" t="s">
        <v>14</v>
      </c>
    </row>
    <row r="15" spans="1:15" s="1" customForma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5" s="1" customFormat="1" x14ac:dyDescent="0.25">
      <c r="A16" s="4" t="s">
        <v>15</v>
      </c>
      <c r="B16" s="5">
        <f>30-7+1</f>
        <v>24</v>
      </c>
      <c r="C16" s="3">
        <v>25</v>
      </c>
      <c r="D16" s="3">
        <v>26</v>
      </c>
      <c r="E16" s="3">
        <v>27</v>
      </c>
      <c r="F16" s="3">
        <v>27</v>
      </c>
      <c r="G16" s="6">
        <v>27</v>
      </c>
      <c r="H16" s="3">
        <v>28</v>
      </c>
      <c r="I16" s="3">
        <v>28</v>
      </c>
      <c r="J16" s="3">
        <v>28</v>
      </c>
      <c r="K16" s="3">
        <v>28</v>
      </c>
      <c r="L16" s="3">
        <v>28</v>
      </c>
      <c r="M16" s="3">
        <v>28</v>
      </c>
      <c r="N16" s="7">
        <f>SUM(B16:M16)/12</f>
        <v>27</v>
      </c>
    </row>
    <row r="17" spans="1:15" s="1" customFormat="1" x14ac:dyDescent="0.25">
      <c r="A17" s="4" t="s">
        <v>16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>
        <f>SUM(B17:M17)/12</f>
        <v>0</v>
      </c>
    </row>
    <row r="18" spans="1:15" s="1" customFormat="1" x14ac:dyDescent="0.25">
      <c r="A18" s="4" t="s">
        <v>17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9">
        <f>SUM(B18:M18)/12</f>
        <v>0</v>
      </c>
    </row>
    <row r="19" spans="1:15" s="1" customFormat="1" x14ac:dyDescent="0.25">
      <c r="A19" s="4"/>
      <c r="B19" s="10"/>
      <c r="C19" s="10"/>
      <c r="D19" s="10"/>
      <c r="E19" s="10"/>
      <c r="F19" s="10"/>
      <c r="G19" s="10"/>
      <c r="H19" s="8"/>
      <c r="I19" s="10"/>
      <c r="J19" s="10"/>
      <c r="K19" s="10"/>
      <c r="L19" s="10"/>
      <c r="M19" s="10"/>
      <c r="N19" s="11"/>
      <c r="O19" s="12"/>
    </row>
    <row r="20" spans="1:15" s="1" customFormat="1" x14ac:dyDescent="0.25">
      <c r="A20" s="2" t="s">
        <v>51</v>
      </c>
      <c r="B20" s="3">
        <f>B16+(B18*1.5)+(B17*0.8)</f>
        <v>24</v>
      </c>
      <c r="C20" s="3">
        <f>C16+(C18*1.5)+(C17*0.8)</f>
        <v>25</v>
      </c>
      <c r="D20" s="3">
        <f>D16+(D18*1.5)+(D17*0.8)</f>
        <v>26</v>
      </c>
      <c r="E20" s="3">
        <f>E16+(E18*1.5)+(E17*0.8)</f>
        <v>27</v>
      </c>
      <c r="F20" s="3">
        <f>F16+(F18*1.5)+(F17*0.8)</f>
        <v>27</v>
      </c>
      <c r="G20" s="3">
        <f t="shared" ref="G20:M20" si="1">G16+(G18*1.5)+(G17*0.8)</f>
        <v>27</v>
      </c>
      <c r="H20" s="3">
        <f t="shared" si="1"/>
        <v>28</v>
      </c>
      <c r="I20" s="3">
        <f t="shared" si="1"/>
        <v>28</v>
      </c>
      <c r="J20" s="3">
        <f t="shared" si="1"/>
        <v>28</v>
      </c>
      <c r="K20" s="3">
        <f t="shared" si="1"/>
        <v>28</v>
      </c>
      <c r="L20" s="3">
        <f t="shared" si="1"/>
        <v>28</v>
      </c>
      <c r="M20" s="3">
        <f t="shared" si="1"/>
        <v>28</v>
      </c>
      <c r="N20" s="9">
        <f>SUM(B20:M20)/12</f>
        <v>27</v>
      </c>
    </row>
    <row r="21" spans="1:15" s="1" customFormat="1" x14ac:dyDescent="0.25">
      <c r="A21" s="13" t="s">
        <v>19</v>
      </c>
      <c r="B21" s="14">
        <v>1</v>
      </c>
      <c r="C21" s="15">
        <v>1</v>
      </c>
      <c r="D21" s="15">
        <v>1</v>
      </c>
      <c r="E21" s="15">
        <v>1</v>
      </c>
      <c r="F21" s="15">
        <v>0</v>
      </c>
      <c r="G21" s="15">
        <v>0</v>
      </c>
      <c r="H21" s="15">
        <v>1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6">
        <f>SUM(B21:M21)</f>
        <v>5</v>
      </c>
      <c r="O21" s="15"/>
    </row>
    <row r="22" spans="1:15" s="1" customFormat="1" x14ac:dyDescent="0.25">
      <c r="A22" s="233"/>
      <c r="B22" s="14" t="s">
        <v>79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34"/>
      <c r="O22" s="15"/>
    </row>
    <row r="23" spans="1:15" x14ac:dyDescent="0.25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</row>
    <row r="24" spans="1:15" x14ac:dyDescent="0.25">
      <c r="A24" s="251" t="s">
        <v>375</v>
      </c>
      <c r="B24" s="251"/>
      <c r="C24" s="251"/>
      <c r="D24" s="251"/>
    </row>
    <row r="25" spans="1:15" s="1" customFormat="1" x14ac:dyDescent="0.25">
      <c r="A25" s="2"/>
      <c r="B25" s="3" t="s">
        <v>2</v>
      </c>
      <c r="C25" s="3" t="s">
        <v>3</v>
      </c>
      <c r="D25" s="3" t="s">
        <v>4</v>
      </c>
      <c r="E25" s="3" t="s">
        <v>5</v>
      </c>
      <c r="F25" s="3" t="s">
        <v>6</v>
      </c>
      <c r="G25" s="3" t="s">
        <v>7</v>
      </c>
      <c r="H25" s="3" t="s">
        <v>8</v>
      </c>
      <c r="I25" s="3" t="s">
        <v>9</v>
      </c>
      <c r="J25" s="3" t="s">
        <v>10</v>
      </c>
      <c r="K25" s="3" t="s">
        <v>11</v>
      </c>
      <c r="L25" s="3" t="s">
        <v>12</v>
      </c>
      <c r="M25" s="3" t="s">
        <v>13</v>
      </c>
      <c r="N25" s="4" t="s">
        <v>14</v>
      </c>
    </row>
    <row r="26" spans="1:15" s="1" customForma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5" s="1" customFormat="1" x14ac:dyDescent="0.25">
      <c r="A27" s="4" t="s">
        <v>15</v>
      </c>
      <c r="B27" s="5">
        <f>28-8+2</f>
        <v>22</v>
      </c>
      <c r="C27" s="3">
        <v>23</v>
      </c>
      <c r="D27" s="3">
        <v>23</v>
      </c>
      <c r="E27" s="3">
        <v>23</v>
      </c>
      <c r="F27" s="3">
        <v>23</v>
      </c>
      <c r="G27" s="6">
        <v>23</v>
      </c>
      <c r="H27" s="3">
        <v>24</v>
      </c>
      <c r="I27" s="3">
        <v>27</v>
      </c>
      <c r="J27" s="3">
        <v>28</v>
      </c>
      <c r="K27" s="3">
        <v>30</v>
      </c>
      <c r="L27" s="3">
        <v>30</v>
      </c>
      <c r="M27" s="3">
        <v>30</v>
      </c>
      <c r="N27" s="7">
        <f>SUM(B27:M27)/12</f>
        <v>25.5</v>
      </c>
    </row>
    <row r="28" spans="1:15" s="1" customFormat="1" x14ac:dyDescent="0.25">
      <c r="A28" s="4" t="s">
        <v>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>
        <f>SUM(B28:M28)/12</f>
        <v>0</v>
      </c>
    </row>
    <row r="29" spans="1:15" s="1" customFormat="1" x14ac:dyDescent="0.25">
      <c r="A29" s="4" t="s">
        <v>17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9">
        <f>SUM(B29:M29)/12</f>
        <v>0</v>
      </c>
    </row>
    <row r="30" spans="1:15" s="1" customFormat="1" x14ac:dyDescent="0.25">
      <c r="A30" s="4"/>
      <c r="B30" s="10"/>
      <c r="C30" s="10"/>
      <c r="D30" s="10"/>
      <c r="E30" s="10"/>
      <c r="F30" s="10"/>
      <c r="G30" s="10"/>
      <c r="H30" s="8"/>
      <c r="I30" s="10"/>
      <c r="J30" s="10"/>
      <c r="K30" s="10"/>
      <c r="L30" s="10"/>
      <c r="M30" s="10"/>
      <c r="N30" s="11"/>
      <c r="O30" s="12"/>
    </row>
    <row r="31" spans="1:15" s="1" customFormat="1" x14ac:dyDescent="0.25">
      <c r="A31" s="2" t="s">
        <v>269</v>
      </c>
      <c r="B31" s="3">
        <f>B27+(B29*1.5)+(B28*0.8)</f>
        <v>22</v>
      </c>
      <c r="C31" s="3">
        <f>C27+(C29*1.5)+(C28*0.8)</f>
        <v>23</v>
      </c>
      <c r="D31" s="3">
        <f>D27+(D29*1.5)+(D28*0.8)</f>
        <v>23</v>
      </c>
      <c r="E31" s="3">
        <f>E27+(E29*1.5)+(E28*0.8)</f>
        <v>23</v>
      </c>
      <c r="F31" s="3">
        <f>F27+(F29*1.5)+(F28*0.8)</f>
        <v>23</v>
      </c>
      <c r="G31" s="3">
        <f t="shared" ref="G31:M31" si="2">G27+(G29*1.5)+(G28*0.8)</f>
        <v>23</v>
      </c>
      <c r="H31" s="3">
        <f t="shared" si="2"/>
        <v>24</v>
      </c>
      <c r="I31" s="3">
        <f t="shared" si="2"/>
        <v>27</v>
      </c>
      <c r="J31" s="3">
        <f t="shared" si="2"/>
        <v>28</v>
      </c>
      <c r="K31" s="3">
        <f t="shared" si="2"/>
        <v>30</v>
      </c>
      <c r="L31" s="3">
        <f t="shared" si="2"/>
        <v>30</v>
      </c>
      <c r="M31" s="3">
        <f t="shared" si="2"/>
        <v>30</v>
      </c>
      <c r="N31" s="9">
        <f>SUM(B31:M31)/12</f>
        <v>25.5</v>
      </c>
    </row>
    <row r="32" spans="1:15" s="1" customFormat="1" x14ac:dyDescent="0.25">
      <c r="A32" s="13" t="s">
        <v>19</v>
      </c>
      <c r="B32" s="14">
        <v>2</v>
      </c>
      <c r="C32" s="15">
        <v>1</v>
      </c>
      <c r="D32" s="15">
        <v>0</v>
      </c>
      <c r="E32" s="15">
        <v>0</v>
      </c>
      <c r="F32" s="15">
        <v>0</v>
      </c>
      <c r="G32" s="15">
        <v>0</v>
      </c>
      <c r="H32" s="15">
        <v>1</v>
      </c>
      <c r="I32" s="15">
        <v>3</v>
      </c>
      <c r="J32" s="15">
        <v>1</v>
      </c>
      <c r="K32" s="15">
        <v>2</v>
      </c>
      <c r="L32" s="15">
        <v>0</v>
      </c>
      <c r="M32" s="15">
        <v>0</v>
      </c>
      <c r="N32" s="16">
        <f>SUM(B32:M32)</f>
        <v>10</v>
      </c>
      <c r="O32" s="15"/>
    </row>
    <row r="33" spans="1:15" s="1" customFormat="1" x14ac:dyDescent="0.25">
      <c r="A33" s="233"/>
      <c r="B33" s="14" t="s">
        <v>420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234"/>
      <c r="O33" s="15"/>
    </row>
    <row r="35" spans="1:15" x14ac:dyDescent="0.25">
      <c r="A35" s="229" t="s">
        <v>239</v>
      </c>
      <c r="B35" s="229"/>
      <c r="C35" s="229"/>
      <c r="D35" s="229"/>
    </row>
    <row r="36" spans="1:15" s="1" customFormat="1" x14ac:dyDescent="0.25">
      <c r="A36" s="2"/>
      <c r="B36" s="3" t="s">
        <v>2</v>
      </c>
      <c r="C36" s="3" t="s">
        <v>3</v>
      </c>
      <c r="D36" s="3" t="s">
        <v>4</v>
      </c>
      <c r="E36" s="3" t="s">
        <v>5</v>
      </c>
      <c r="F36" s="3" t="s">
        <v>6</v>
      </c>
      <c r="G36" s="3" t="s">
        <v>7</v>
      </c>
      <c r="H36" s="3" t="s">
        <v>8</v>
      </c>
      <c r="I36" s="3" t="s">
        <v>9</v>
      </c>
      <c r="J36" s="3" t="s">
        <v>10</v>
      </c>
      <c r="K36" s="3" t="s">
        <v>11</v>
      </c>
      <c r="L36" s="3" t="s">
        <v>12</v>
      </c>
      <c r="M36" s="3" t="s">
        <v>13</v>
      </c>
      <c r="N36" s="4" t="s">
        <v>14</v>
      </c>
    </row>
    <row r="37" spans="1:15" s="1" customForma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5" s="1" customFormat="1" x14ac:dyDescent="0.25">
      <c r="A38" s="4" t="s">
        <v>15</v>
      </c>
      <c r="B38" s="5">
        <f>29-7+1</f>
        <v>23</v>
      </c>
      <c r="C38" s="3">
        <v>24</v>
      </c>
      <c r="D38" s="3">
        <v>25</v>
      </c>
      <c r="E38" s="3">
        <v>26</v>
      </c>
      <c r="F38" s="3">
        <v>26</v>
      </c>
      <c r="G38" s="6">
        <v>26</v>
      </c>
      <c r="H38" s="3">
        <v>27</v>
      </c>
      <c r="I38" s="3">
        <v>27</v>
      </c>
      <c r="J38" s="3">
        <v>27</v>
      </c>
      <c r="K38" s="3">
        <v>27</v>
      </c>
      <c r="L38" s="3">
        <v>27</v>
      </c>
      <c r="M38" s="3">
        <v>27</v>
      </c>
      <c r="N38" s="7">
        <f>SUM(B38:M38)/12</f>
        <v>26</v>
      </c>
    </row>
    <row r="39" spans="1:15" s="1" customFormat="1" x14ac:dyDescent="0.25">
      <c r="A39" s="4" t="s">
        <v>16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>
        <f>SUM(B39:M39)/12</f>
        <v>0</v>
      </c>
    </row>
    <row r="40" spans="1:15" s="1" customFormat="1" x14ac:dyDescent="0.25">
      <c r="A40" s="4" t="s">
        <v>17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9">
        <f>SUM(B40:M40)/12</f>
        <v>0</v>
      </c>
    </row>
    <row r="41" spans="1:15" s="1" customFormat="1" x14ac:dyDescent="0.25">
      <c r="A41" s="4"/>
      <c r="B41" s="10"/>
      <c r="C41" s="10"/>
      <c r="D41" s="10"/>
      <c r="E41" s="10"/>
      <c r="F41" s="10"/>
      <c r="G41" s="10"/>
      <c r="H41" s="8"/>
      <c r="I41" s="10"/>
      <c r="J41" s="10"/>
      <c r="K41" s="10"/>
      <c r="L41" s="10"/>
      <c r="M41" s="10"/>
      <c r="N41" s="11"/>
      <c r="O41" s="12"/>
    </row>
    <row r="42" spans="1:15" s="1" customFormat="1" x14ac:dyDescent="0.25">
      <c r="A42" s="2" t="s">
        <v>51</v>
      </c>
      <c r="B42" s="3">
        <f>B38+(B40*1.5)+(B39*0.8)</f>
        <v>23</v>
      </c>
      <c r="C42" s="3">
        <f>C38+(C40*1.5)+(C39*0.8)</f>
        <v>24</v>
      </c>
      <c r="D42" s="3">
        <f>D38+(D40*1.5)+(D39*0.8)</f>
        <v>25</v>
      </c>
      <c r="E42" s="3">
        <f>E38+(E40*1.5)+(E39*0.8)</f>
        <v>26</v>
      </c>
      <c r="F42" s="3">
        <f>F38+(F40*1.5)+(F39*0.8)</f>
        <v>26</v>
      </c>
      <c r="G42" s="3">
        <f t="shared" ref="G42:M42" si="3">G38+(G40*1.5)+(G39*0.8)</f>
        <v>26</v>
      </c>
      <c r="H42" s="3">
        <f t="shared" si="3"/>
        <v>27</v>
      </c>
      <c r="I42" s="3">
        <f t="shared" si="3"/>
        <v>27</v>
      </c>
      <c r="J42" s="3">
        <f t="shared" si="3"/>
        <v>27</v>
      </c>
      <c r="K42" s="3">
        <f t="shared" si="3"/>
        <v>27</v>
      </c>
      <c r="L42" s="3">
        <f t="shared" si="3"/>
        <v>27</v>
      </c>
      <c r="M42" s="3">
        <f t="shared" si="3"/>
        <v>27</v>
      </c>
      <c r="N42" s="9">
        <f>SUM(B42:M42)/12</f>
        <v>26</v>
      </c>
    </row>
    <row r="43" spans="1:15" s="1" customFormat="1" x14ac:dyDescent="0.25">
      <c r="A43" s="13" t="s">
        <v>19</v>
      </c>
      <c r="B43" s="14">
        <v>1</v>
      </c>
      <c r="C43" s="15">
        <v>1</v>
      </c>
      <c r="D43" s="15">
        <v>1</v>
      </c>
      <c r="E43" s="15">
        <v>1</v>
      </c>
      <c r="F43" s="15"/>
      <c r="G43" s="15"/>
      <c r="H43" s="15">
        <v>1</v>
      </c>
      <c r="I43" s="15"/>
      <c r="J43" s="15"/>
      <c r="K43" s="15"/>
      <c r="L43" s="15"/>
      <c r="M43" s="15"/>
      <c r="N43" s="16">
        <f>SUM(B43:M43)</f>
        <v>5</v>
      </c>
      <c r="O43" s="15"/>
    </row>
    <row r="44" spans="1:15" s="1" customFormat="1" x14ac:dyDescent="0.25">
      <c r="A44" s="233"/>
      <c r="B44" s="14" t="s">
        <v>79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234"/>
      <c r="O44" s="15"/>
    </row>
    <row r="46" spans="1:15" x14ac:dyDescent="0.25">
      <c r="A46" s="189" t="s">
        <v>126</v>
      </c>
      <c r="B46" s="189"/>
      <c r="C46" s="189"/>
      <c r="D46" s="189"/>
    </row>
    <row r="47" spans="1:15" s="1" customFormat="1" x14ac:dyDescent="0.25">
      <c r="A47" s="2"/>
      <c r="B47" s="3" t="s">
        <v>2</v>
      </c>
      <c r="C47" s="3" t="s">
        <v>3</v>
      </c>
      <c r="D47" s="3" t="s">
        <v>4</v>
      </c>
      <c r="E47" s="3" t="s">
        <v>5</v>
      </c>
      <c r="F47" s="3" t="s">
        <v>6</v>
      </c>
      <c r="G47" s="3" t="s">
        <v>7</v>
      </c>
      <c r="H47" s="3" t="s">
        <v>8</v>
      </c>
      <c r="I47" s="3" t="s">
        <v>9</v>
      </c>
      <c r="J47" s="3" t="s">
        <v>10</v>
      </c>
      <c r="K47" s="3" t="s">
        <v>11</v>
      </c>
      <c r="L47" s="3" t="s">
        <v>12</v>
      </c>
      <c r="M47" s="3" t="s">
        <v>13</v>
      </c>
      <c r="N47" s="4" t="s">
        <v>14</v>
      </c>
    </row>
    <row r="48" spans="1:15" s="1" customForma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5" s="1" customFormat="1" x14ac:dyDescent="0.25">
      <c r="A49" s="4" t="s">
        <v>15</v>
      </c>
      <c r="B49" s="5">
        <f>30-10</f>
        <v>20</v>
      </c>
      <c r="C49" s="3">
        <v>21</v>
      </c>
      <c r="D49" s="3">
        <v>22</v>
      </c>
      <c r="E49" s="3">
        <v>23</v>
      </c>
      <c r="F49" s="3">
        <v>23</v>
      </c>
      <c r="G49" s="6">
        <v>23</v>
      </c>
      <c r="H49" s="3">
        <v>24</v>
      </c>
      <c r="I49" s="3">
        <v>24</v>
      </c>
      <c r="J49" s="3">
        <v>24</v>
      </c>
      <c r="K49" s="3">
        <v>24</v>
      </c>
      <c r="L49" s="3">
        <v>24</v>
      </c>
      <c r="M49" s="3">
        <v>24</v>
      </c>
      <c r="N49" s="7">
        <f>SUM(B49:M49)/12</f>
        <v>23</v>
      </c>
    </row>
    <row r="50" spans="1:15" s="1" customFormat="1" x14ac:dyDescent="0.25">
      <c r="A50" s="4" t="s">
        <v>16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>
        <f>SUM(B50:M50)/12</f>
        <v>0</v>
      </c>
    </row>
    <row r="51" spans="1:15" s="1" customFormat="1" x14ac:dyDescent="0.25">
      <c r="A51" s="4" t="s">
        <v>17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9">
        <f>SUM(B51:M51)/12</f>
        <v>0</v>
      </c>
    </row>
    <row r="52" spans="1:15" s="1" customFormat="1" x14ac:dyDescent="0.25">
      <c r="A52" s="4"/>
      <c r="B52" s="10"/>
      <c r="C52" s="10"/>
      <c r="D52" s="10"/>
      <c r="E52" s="10"/>
      <c r="F52" s="10"/>
      <c r="G52" s="10"/>
      <c r="H52" s="8"/>
      <c r="I52" s="10"/>
      <c r="J52" s="10"/>
      <c r="K52" s="10"/>
      <c r="L52" s="10"/>
      <c r="M52" s="10"/>
      <c r="N52" s="11"/>
      <c r="O52" s="12"/>
    </row>
    <row r="53" spans="1:15" s="1" customFormat="1" x14ac:dyDescent="0.25">
      <c r="A53" s="2" t="s">
        <v>51</v>
      </c>
      <c r="B53" s="3">
        <f>B49+(B51*1.5)+(B50*0.8)</f>
        <v>20</v>
      </c>
      <c r="C53" s="3">
        <f>C49+(C51*1.5)+(C50*0.8)</f>
        <v>21</v>
      </c>
      <c r="D53" s="3">
        <f>D49+(D51*1.5)+(D50*0.8)</f>
        <v>22</v>
      </c>
      <c r="E53" s="3">
        <f>E49+(E51*1.5)+(E50*0.8)</f>
        <v>23</v>
      </c>
      <c r="F53" s="3">
        <f>F49+(F51*1.5)+(F50*0.8)</f>
        <v>23</v>
      </c>
      <c r="G53" s="3">
        <f t="shared" ref="G53:M53" si="4">G49+(G51*1.5)+(G50*0.8)</f>
        <v>23</v>
      </c>
      <c r="H53" s="3">
        <f t="shared" si="4"/>
        <v>24</v>
      </c>
      <c r="I53" s="3">
        <f t="shared" si="4"/>
        <v>24</v>
      </c>
      <c r="J53" s="3">
        <f t="shared" si="4"/>
        <v>24</v>
      </c>
      <c r="K53" s="3">
        <f t="shared" si="4"/>
        <v>24</v>
      </c>
      <c r="L53" s="3">
        <f t="shared" si="4"/>
        <v>24</v>
      </c>
      <c r="M53" s="3">
        <f t="shared" si="4"/>
        <v>24</v>
      </c>
      <c r="N53" s="9">
        <f>SUM(B53:M53)/12</f>
        <v>23</v>
      </c>
    </row>
    <row r="54" spans="1:15" s="1" customFormat="1" x14ac:dyDescent="0.25">
      <c r="A54" s="13" t="s">
        <v>19</v>
      </c>
      <c r="B54" s="14"/>
      <c r="C54" s="15">
        <v>1</v>
      </c>
      <c r="D54" s="15">
        <v>1</v>
      </c>
      <c r="E54" s="15">
        <v>1</v>
      </c>
      <c r="F54" s="15"/>
      <c r="G54" s="15"/>
      <c r="H54" s="15">
        <v>1</v>
      </c>
      <c r="I54" s="15"/>
      <c r="J54" s="15"/>
      <c r="K54" s="15"/>
      <c r="L54" s="15"/>
      <c r="M54" s="15"/>
      <c r="N54" s="16">
        <f>SUM(B54:M54)</f>
        <v>4</v>
      </c>
      <c r="O54" s="15"/>
    </row>
    <row r="55" spans="1:15" x14ac:dyDescent="0.25">
      <c r="B55" t="s">
        <v>88</v>
      </c>
    </row>
    <row r="57" spans="1:15" s="172" customFormat="1" x14ac:dyDescent="0.25">
      <c r="A57" s="290" t="s">
        <v>39</v>
      </c>
      <c r="B57" s="291"/>
      <c r="C57" s="291"/>
      <c r="D57" s="291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</row>
    <row r="58" spans="1:15" s="172" customFormat="1" x14ac:dyDescent="0.25">
      <c r="A58" s="140"/>
      <c r="B58" s="141" t="s">
        <v>2</v>
      </c>
      <c r="C58" s="141" t="s">
        <v>3</v>
      </c>
      <c r="D58" s="141" t="s">
        <v>4</v>
      </c>
      <c r="E58" s="141" t="s">
        <v>5</v>
      </c>
      <c r="F58" s="141" t="s">
        <v>6</v>
      </c>
      <c r="G58" s="141" t="s">
        <v>7</v>
      </c>
      <c r="H58" s="141" t="s">
        <v>8</v>
      </c>
      <c r="I58" s="141" t="s">
        <v>9</v>
      </c>
      <c r="J58" s="141" t="s">
        <v>10</v>
      </c>
      <c r="K58" s="141" t="s">
        <v>11</v>
      </c>
      <c r="L58" s="141" t="s">
        <v>12</v>
      </c>
      <c r="M58" s="141" t="s">
        <v>13</v>
      </c>
      <c r="N58" s="142" t="s">
        <v>14</v>
      </c>
      <c r="O58" s="292"/>
    </row>
    <row r="59" spans="1:15" s="172" customFormat="1" x14ac:dyDescent="0.2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292"/>
    </row>
    <row r="60" spans="1:15" s="172" customFormat="1" x14ac:dyDescent="0.25">
      <c r="A60" s="142" t="s">
        <v>15</v>
      </c>
      <c r="B60" s="28">
        <v>24</v>
      </c>
      <c r="C60" s="54">
        <v>24</v>
      </c>
      <c r="D60" s="54">
        <v>25</v>
      </c>
      <c r="E60" s="54">
        <v>26</v>
      </c>
      <c r="F60" s="54">
        <v>27</v>
      </c>
      <c r="G60" s="293">
        <v>29</v>
      </c>
      <c r="H60" s="54">
        <v>29</v>
      </c>
      <c r="I60" s="54">
        <v>29</v>
      </c>
      <c r="J60" s="54">
        <f>29+0.25</f>
        <v>29.25</v>
      </c>
      <c r="K60" s="54">
        <f>30+1-(5*0.5)</f>
        <v>28.5</v>
      </c>
      <c r="L60" s="54">
        <f>31-5+1</f>
        <v>27</v>
      </c>
      <c r="M60" s="3">
        <v>30</v>
      </c>
      <c r="N60" s="7">
        <f>SUM(B60:M60)/12</f>
        <v>27.3125</v>
      </c>
      <c r="O60" s="292"/>
    </row>
    <row r="61" spans="1:15" s="172" customFormat="1" x14ac:dyDescent="0.25">
      <c r="A61" s="142" t="s">
        <v>16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8"/>
      <c r="N61" s="9">
        <f>SUM(B61:M61)/12</f>
        <v>0</v>
      </c>
      <c r="O61" s="292"/>
    </row>
    <row r="62" spans="1:15" s="172" customFormat="1" x14ac:dyDescent="0.25">
      <c r="A62" s="142" t="s">
        <v>17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10"/>
      <c r="N62" s="9">
        <f>SUM(B62:M62)/12</f>
        <v>0</v>
      </c>
      <c r="O62" s="292"/>
    </row>
    <row r="63" spans="1:15" s="172" customFormat="1" x14ac:dyDescent="0.25">
      <c r="A63" s="142"/>
      <c r="B63" s="10"/>
      <c r="C63" s="10"/>
      <c r="D63" s="10"/>
      <c r="E63" s="10"/>
      <c r="F63" s="10"/>
      <c r="G63" s="10"/>
      <c r="H63" s="8"/>
      <c r="I63" s="10"/>
      <c r="J63" s="10"/>
      <c r="K63" s="10"/>
      <c r="L63" s="10"/>
      <c r="M63" s="10"/>
      <c r="N63" s="11"/>
      <c r="O63" s="294"/>
    </row>
    <row r="64" spans="1:15" s="172" customFormat="1" x14ac:dyDescent="0.25">
      <c r="A64" s="140" t="s">
        <v>18</v>
      </c>
      <c r="B64" s="3">
        <f>B60+(B62*1.5)+(B61*0.8)</f>
        <v>24</v>
      </c>
      <c r="C64" s="3">
        <f>C60+(C62*1.5)+(C61*0.8)</f>
        <v>24</v>
      </c>
      <c r="D64" s="3">
        <f>D60+(D62*1.5)+(D61*0.8)</f>
        <v>25</v>
      </c>
      <c r="E64" s="3">
        <f>E60+(E62*1.5)+(E61*0.8)</f>
        <v>26</v>
      </c>
      <c r="F64" s="3">
        <f>F60+(F62*1.5)+(F61*0.8)</f>
        <v>27</v>
      </c>
      <c r="G64" s="3">
        <f t="shared" ref="G64:M64" si="5">G60+(G62*1.5)+(G61*0.8)</f>
        <v>29</v>
      </c>
      <c r="H64" s="3">
        <f t="shared" si="5"/>
        <v>29</v>
      </c>
      <c r="I64" s="3">
        <f t="shared" si="5"/>
        <v>29</v>
      </c>
      <c r="J64" s="3">
        <f t="shared" si="5"/>
        <v>29.25</v>
      </c>
      <c r="K64" s="3">
        <f t="shared" si="5"/>
        <v>28.5</v>
      </c>
      <c r="L64" s="3">
        <f t="shared" si="5"/>
        <v>27</v>
      </c>
      <c r="M64" s="3">
        <f t="shared" si="5"/>
        <v>30</v>
      </c>
      <c r="N64" s="9">
        <f>SUM(B64:M64)/12</f>
        <v>27.3125</v>
      </c>
      <c r="O64" s="292"/>
    </row>
    <row r="65" spans="1:15" s="172" customFormat="1" x14ac:dyDescent="0.25">
      <c r="A65" s="81" t="s">
        <v>19</v>
      </c>
      <c r="B65" s="295"/>
      <c r="C65" s="79"/>
      <c r="D65" s="79">
        <v>1</v>
      </c>
      <c r="E65" s="79">
        <v>1</v>
      </c>
      <c r="F65" s="79">
        <v>1</v>
      </c>
      <c r="G65" s="79">
        <v>2</v>
      </c>
      <c r="H65" s="79"/>
      <c r="I65" s="79"/>
      <c r="J65" s="79">
        <v>1</v>
      </c>
      <c r="K65" s="79">
        <v>1</v>
      </c>
      <c r="L65" s="79">
        <v>1</v>
      </c>
      <c r="M65" s="79">
        <v>3</v>
      </c>
      <c r="N65" s="82">
        <v>7</v>
      </c>
      <c r="O65" s="292"/>
    </row>
    <row r="66" spans="1:15" s="296" customFormat="1" x14ac:dyDescent="0.25">
      <c r="J66" s="297" t="s">
        <v>253</v>
      </c>
      <c r="K66" s="298" t="s">
        <v>252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D28" sqref="D28"/>
    </sheetView>
  </sheetViews>
  <sheetFormatPr defaultRowHeight="15" x14ac:dyDescent="0.25"/>
  <cols>
    <col min="10" max="10" width="12.42578125" customWidth="1"/>
    <col min="12" max="12" width="12.42578125" customWidth="1"/>
  </cols>
  <sheetData>
    <row r="1" spans="1:15" x14ac:dyDescent="0.25">
      <c r="A1" s="189" t="s">
        <v>180</v>
      </c>
      <c r="B1" s="189"/>
      <c r="C1" s="189"/>
      <c r="D1" s="189"/>
    </row>
    <row r="2" spans="1:15" s="1" customFormat="1" x14ac:dyDescent="0.25">
      <c r="A2" s="2"/>
      <c r="B2" s="3" t="s">
        <v>7</v>
      </c>
      <c r="C2" s="3" t="s">
        <v>8</v>
      </c>
      <c r="D2" s="3" t="s">
        <v>9</v>
      </c>
      <c r="E2" s="3" t="s">
        <v>181</v>
      </c>
      <c r="F2" s="3" t="s">
        <v>182</v>
      </c>
      <c r="G2" s="3" t="s">
        <v>12</v>
      </c>
      <c r="H2" s="3" t="s">
        <v>13</v>
      </c>
      <c r="I2" s="3" t="s">
        <v>183</v>
      </c>
      <c r="J2" s="3" t="s">
        <v>3</v>
      </c>
      <c r="K2" s="3" t="s">
        <v>4</v>
      </c>
      <c r="L2" s="3" t="s">
        <v>184</v>
      </c>
      <c r="M2" s="3" t="s">
        <v>6</v>
      </c>
      <c r="N2" s="4" t="s">
        <v>14</v>
      </c>
    </row>
    <row r="3" spans="1:15" s="1" customForma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1" customFormat="1" x14ac:dyDescent="0.25">
      <c r="A4" s="4" t="s">
        <v>15</v>
      </c>
      <c r="B4" s="5"/>
      <c r="C4" s="3"/>
      <c r="D4" s="3"/>
      <c r="E4" s="3"/>
      <c r="F4" s="3"/>
      <c r="G4" s="6"/>
      <c r="H4" s="3"/>
      <c r="I4" s="3"/>
      <c r="J4" s="3"/>
      <c r="K4" s="3"/>
      <c r="L4" s="3"/>
      <c r="M4" s="3"/>
      <c r="N4" s="7">
        <f>SUM(B4:M4)/12</f>
        <v>0</v>
      </c>
    </row>
    <row r="5" spans="1:15" s="1" customFormat="1" x14ac:dyDescent="0.25">
      <c r="A5" s="4" t="s">
        <v>16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>
        <f>SUM(B5:M5)/12</f>
        <v>0</v>
      </c>
    </row>
    <row r="6" spans="1:15" s="1" customFormat="1" x14ac:dyDescent="0.25">
      <c r="A6" s="4" t="s">
        <v>17</v>
      </c>
      <c r="B6" s="10">
        <f>0.5+0.25+0.25</f>
        <v>1</v>
      </c>
      <c r="C6" s="10">
        <f>1+1+1</f>
        <v>3</v>
      </c>
      <c r="D6" s="10">
        <f>1+1+1</f>
        <v>3</v>
      </c>
      <c r="E6" s="10">
        <f>1+1+1</f>
        <v>3</v>
      </c>
      <c r="F6" s="10">
        <f>1+1+1+0.5+0.5+0.5</f>
        <v>4.5</v>
      </c>
      <c r="G6" s="10">
        <f>1+1+1+1+1</f>
        <v>5</v>
      </c>
      <c r="H6" s="10">
        <f>1+1</f>
        <v>2</v>
      </c>
      <c r="I6" s="10">
        <f>1+1+0.75+0.5</f>
        <v>3.25</v>
      </c>
      <c r="J6" s="10">
        <f>1+1+1+1+1+0.5</f>
        <v>5.5</v>
      </c>
      <c r="K6" s="10">
        <f>1+0.5</f>
        <v>1.5</v>
      </c>
      <c r="L6" s="10"/>
      <c r="M6" s="10"/>
      <c r="N6" s="9">
        <f>SUM(B6:M6)/12</f>
        <v>2.6458333333333335</v>
      </c>
      <c r="O6" s="1" t="s">
        <v>209</v>
      </c>
    </row>
    <row r="7" spans="1:15" s="1" customFormat="1" x14ac:dyDescent="0.25">
      <c r="A7" s="4"/>
      <c r="B7" s="10"/>
      <c r="C7" s="10"/>
      <c r="D7" s="10"/>
      <c r="E7" s="10"/>
      <c r="F7" s="10"/>
      <c r="G7" s="10"/>
      <c r="H7" s="8"/>
      <c r="I7" s="10"/>
      <c r="J7" s="10"/>
      <c r="K7" s="10"/>
      <c r="L7" s="10"/>
      <c r="M7" s="10"/>
      <c r="N7" s="11"/>
      <c r="O7" s="12"/>
    </row>
    <row r="8" spans="1:15" s="1" customFormat="1" x14ac:dyDescent="0.25">
      <c r="A8" s="2" t="s">
        <v>51</v>
      </c>
      <c r="B8" s="3">
        <f>B4+(B6*1.5)+(B5*0.8)</f>
        <v>1.5</v>
      </c>
      <c r="C8" s="3">
        <f>C4+(C6*1.5)+(C5*0.8)</f>
        <v>4.5</v>
      </c>
      <c r="D8" s="3">
        <f>D4+(D6*1.5)+(D5*0.8)</f>
        <v>4.5</v>
      </c>
      <c r="E8" s="3">
        <f>E4+(E6*1.5)+(E5*0.8)</f>
        <v>4.5</v>
      </c>
      <c r="F8" s="3">
        <f>F4+(F6*1.5)+(F5*0.8)</f>
        <v>6.75</v>
      </c>
      <c r="G8" s="3">
        <f t="shared" ref="G8:M8" si="0">G4+(G6*1.5)+(G5*0.8)</f>
        <v>7.5</v>
      </c>
      <c r="H8" s="3">
        <f t="shared" si="0"/>
        <v>3</v>
      </c>
      <c r="I8" s="3">
        <f t="shared" si="0"/>
        <v>4.875</v>
      </c>
      <c r="J8" s="3">
        <f t="shared" si="0"/>
        <v>8.25</v>
      </c>
      <c r="K8" s="3">
        <f t="shared" si="0"/>
        <v>2.25</v>
      </c>
      <c r="L8" s="3">
        <f t="shared" si="0"/>
        <v>0</v>
      </c>
      <c r="M8" s="3">
        <f t="shared" si="0"/>
        <v>0</v>
      </c>
      <c r="N8" s="9">
        <f>SUM(B8:M8)/12</f>
        <v>3.96875</v>
      </c>
    </row>
    <row r="9" spans="1:15" s="1" customFormat="1" x14ac:dyDescent="0.25">
      <c r="A9" s="13"/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16">
        <f>SUM(B9:M9)</f>
        <v>0</v>
      </c>
      <c r="O9" s="15"/>
    </row>
    <row r="10" spans="1:15" x14ac:dyDescent="0.25">
      <c r="B10" s="50" t="s">
        <v>185</v>
      </c>
      <c r="C10" s="50" t="s">
        <v>188</v>
      </c>
      <c r="D10" s="50" t="s">
        <v>190</v>
      </c>
      <c r="E10" s="50" t="s">
        <v>192</v>
      </c>
      <c r="F10" s="50" t="s">
        <v>195</v>
      </c>
      <c r="G10" s="50" t="s">
        <v>201</v>
      </c>
      <c r="H10" s="50" t="s">
        <v>203</v>
      </c>
      <c r="I10" s="50" t="s">
        <v>150</v>
      </c>
      <c r="J10" s="50" t="s">
        <v>205</v>
      </c>
      <c r="K10" s="50" t="s">
        <v>208</v>
      </c>
      <c r="L10" s="50"/>
      <c r="M10" s="50"/>
    </row>
    <row r="11" spans="1:15" x14ac:dyDescent="0.25">
      <c r="B11" s="50" t="s">
        <v>186</v>
      </c>
      <c r="C11" s="50" t="s">
        <v>189</v>
      </c>
      <c r="D11" s="50" t="s">
        <v>191</v>
      </c>
      <c r="E11" s="50" t="s">
        <v>193</v>
      </c>
      <c r="F11" s="50" t="s">
        <v>196</v>
      </c>
      <c r="G11" s="50" t="s">
        <v>202</v>
      </c>
      <c r="H11" s="50"/>
      <c r="I11" s="50" t="s">
        <v>149</v>
      </c>
      <c r="J11" s="50" t="s">
        <v>206</v>
      </c>
      <c r="K11" s="50"/>
      <c r="L11" s="50"/>
      <c r="M11" s="50"/>
    </row>
    <row r="12" spans="1:15" x14ac:dyDescent="0.25">
      <c r="B12" s="50" t="s">
        <v>187</v>
      </c>
      <c r="C12" s="50"/>
      <c r="D12" s="50"/>
      <c r="E12" s="50" t="s">
        <v>194</v>
      </c>
      <c r="F12" s="50" t="s">
        <v>197</v>
      </c>
      <c r="G12" s="50"/>
      <c r="H12" s="50"/>
      <c r="I12" s="50" t="s">
        <v>204</v>
      </c>
      <c r="J12" s="50" t="s">
        <v>151</v>
      </c>
      <c r="K12" s="50"/>
      <c r="L12" s="50"/>
      <c r="M12" s="50"/>
    </row>
    <row r="13" spans="1:15" x14ac:dyDescent="0.25">
      <c r="B13" s="50"/>
      <c r="C13" s="50"/>
      <c r="D13" s="50"/>
      <c r="E13" s="50"/>
      <c r="F13" s="50" t="s">
        <v>198</v>
      </c>
      <c r="G13" s="50"/>
      <c r="H13" s="50"/>
      <c r="I13" s="50" t="s">
        <v>147</v>
      </c>
      <c r="J13" s="50" t="s">
        <v>34</v>
      </c>
      <c r="K13" s="50"/>
      <c r="L13" s="50"/>
      <c r="M13" s="50"/>
    </row>
    <row r="14" spans="1:15" x14ac:dyDescent="0.25">
      <c r="B14" s="50"/>
      <c r="C14" s="50"/>
      <c r="D14" s="50"/>
      <c r="E14" s="50"/>
      <c r="F14" s="50" t="s">
        <v>199</v>
      </c>
      <c r="G14" s="50"/>
      <c r="H14" s="50"/>
      <c r="I14" s="50"/>
      <c r="J14" s="50" t="s">
        <v>207</v>
      </c>
      <c r="K14" s="50"/>
      <c r="L14" s="50"/>
      <c r="M14" s="50"/>
    </row>
    <row r="15" spans="1:15" x14ac:dyDescent="0.25">
      <c r="F15" s="50" t="s">
        <v>200</v>
      </c>
    </row>
    <row r="17" spans="1:15" x14ac:dyDescent="0.25">
      <c r="A17" s="221" t="s">
        <v>354</v>
      </c>
      <c r="B17" s="221"/>
      <c r="C17" s="221"/>
      <c r="D17" s="221"/>
    </row>
    <row r="18" spans="1:15" s="1" customFormat="1" x14ac:dyDescent="0.25">
      <c r="A18" s="2"/>
      <c r="B18" s="3" t="s">
        <v>7</v>
      </c>
      <c r="C18" s="3" t="s">
        <v>8</v>
      </c>
      <c r="D18" s="3" t="s">
        <v>9</v>
      </c>
      <c r="E18" s="3" t="s">
        <v>181</v>
      </c>
      <c r="F18" s="3" t="s">
        <v>182</v>
      </c>
      <c r="G18" s="3" t="s">
        <v>12</v>
      </c>
      <c r="H18" s="3" t="s">
        <v>13</v>
      </c>
      <c r="I18" s="3" t="s">
        <v>183</v>
      </c>
      <c r="J18" s="3" t="s">
        <v>3</v>
      </c>
      <c r="K18" s="3" t="s">
        <v>4</v>
      </c>
      <c r="L18" s="3" t="s">
        <v>184</v>
      </c>
      <c r="M18" s="3" t="s">
        <v>6</v>
      </c>
      <c r="N18" s="4" t="s">
        <v>14</v>
      </c>
    </row>
    <row r="19" spans="1:15" s="1" customForma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5" s="1" customFormat="1" x14ac:dyDescent="0.25">
      <c r="A20" s="4" t="s">
        <v>15</v>
      </c>
      <c r="B20" s="5"/>
      <c r="C20" s="3"/>
      <c r="D20" s="3"/>
      <c r="E20" s="3"/>
      <c r="F20" s="3"/>
      <c r="G20" s="6"/>
      <c r="H20" s="3"/>
      <c r="I20" s="3"/>
      <c r="J20" s="3"/>
      <c r="K20" s="3"/>
      <c r="L20" s="3"/>
      <c r="M20" s="3"/>
      <c r="N20" s="7">
        <f>SUM(B20:M20)/12</f>
        <v>0</v>
      </c>
    </row>
    <row r="21" spans="1:15" s="1" customFormat="1" x14ac:dyDescent="0.25">
      <c r="A21" s="4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>
        <f>SUM(B21:M21)/12</f>
        <v>0</v>
      </c>
    </row>
    <row r="22" spans="1:15" s="1" customFormat="1" x14ac:dyDescent="0.25">
      <c r="A22" s="4" t="s">
        <v>17</v>
      </c>
      <c r="B22" s="10">
        <v>0</v>
      </c>
      <c r="C22" s="10">
        <v>0</v>
      </c>
      <c r="D22" s="10">
        <v>0.5</v>
      </c>
      <c r="E22" s="10">
        <v>1</v>
      </c>
      <c r="F22" s="10">
        <v>1</v>
      </c>
      <c r="G22" s="10">
        <v>2</v>
      </c>
      <c r="H22" s="10">
        <v>1</v>
      </c>
      <c r="I22" s="10">
        <f>1+0.5+1+0.25+0.75+0.75+1</f>
        <v>5.25</v>
      </c>
      <c r="J22" s="10">
        <f>2+2</f>
        <v>4</v>
      </c>
      <c r="K22" s="10">
        <v>1</v>
      </c>
      <c r="L22" s="10">
        <f>1+1+1</f>
        <v>3</v>
      </c>
      <c r="M22" s="10">
        <v>1</v>
      </c>
      <c r="N22" s="9">
        <f>SUM(B22:M22)/12</f>
        <v>1.6458333333333333</v>
      </c>
      <c r="O22" s="1" t="s">
        <v>355</v>
      </c>
    </row>
    <row r="23" spans="1:15" s="1" customFormat="1" x14ac:dyDescent="0.25">
      <c r="A23" s="4"/>
      <c r="B23" s="10"/>
      <c r="C23" s="10"/>
      <c r="D23" s="10"/>
      <c r="E23" s="10"/>
      <c r="F23" s="10"/>
      <c r="G23" s="10"/>
      <c r="H23" s="8"/>
      <c r="I23" s="10"/>
      <c r="J23" s="10"/>
      <c r="K23" s="10"/>
      <c r="L23" s="10"/>
      <c r="M23" s="10"/>
      <c r="N23" s="11"/>
      <c r="O23" s="12"/>
    </row>
    <row r="24" spans="1:15" s="1" customFormat="1" x14ac:dyDescent="0.25">
      <c r="A24" s="2" t="s">
        <v>51</v>
      </c>
      <c r="B24" s="3">
        <f>B20+(B22*1.5)+(B21*0.8)</f>
        <v>0</v>
      </c>
      <c r="C24" s="3">
        <f>C20+(C22*1.5)+(C21*0.8)</f>
        <v>0</v>
      </c>
      <c r="D24" s="3">
        <f>D20+(D22*1.5)+(D21*0.8)</f>
        <v>0.75</v>
      </c>
      <c r="E24" s="3">
        <f>E20+(E22*1.5)+(E21*0.8)</f>
        <v>1.5</v>
      </c>
      <c r="F24" s="3">
        <f>F20+(F22*1.5)+(F21*0.8)</f>
        <v>1.5</v>
      </c>
      <c r="G24" s="3">
        <f t="shared" ref="G24:M24" si="1">G20+(G22*1.5)+(G21*0.8)</f>
        <v>3</v>
      </c>
      <c r="H24" s="3">
        <f t="shared" si="1"/>
        <v>1.5</v>
      </c>
      <c r="I24" s="3">
        <f t="shared" si="1"/>
        <v>7.875</v>
      </c>
      <c r="J24" s="3">
        <f t="shared" si="1"/>
        <v>6</v>
      </c>
      <c r="K24" s="3">
        <f t="shared" si="1"/>
        <v>1.5</v>
      </c>
      <c r="L24" s="3">
        <f t="shared" si="1"/>
        <v>4.5</v>
      </c>
      <c r="M24" s="3">
        <f t="shared" si="1"/>
        <v>1.5</v>
      </c>
      <c r="N24" s="9">
        <f>SUM(B24:M24)/12</f>
        <v>2.46875</v>
      </c>
    </row>
    <row r="25" spans="1:15" s="1" customFormat="1" x14ac:dyDescent="0.25">
      <c r="A25" s="13"/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16">
        <f>SUM(B25:M25)</f>
        <v>0</v>
      </c>
      <c r="O25" s="15"/>
    </row>
    <row r="26" spans="1:15" x14ac:dyDescent="0.25">
      <c r="B26" s="50"/>
      <c r="C26" s="50"/>
      <c r="D26" s="50" t="s">
        <v>356</v>
      </c>
      <c r="E26" s="50" t="s">
        <v>356</v>
      </c>
      <c r="F26" s="50" t="s">
        <v>69</v>
      </c>
      <c r="G26" s="50" t="s">
        <v>69</v>
      </c>
      <c r="H26" s="50" t="s">
        <v>69</v>
      </c>
      <c r="I26" s="50" t="s">
        <v>50</v>
      </c>
      <c r="J26" s="50" t="s">
        <v>362</v>
      </c>
      <c r="K26" s="50" t="s">
        <v>364</v>
      </c>
      <c r="L26" s="50" t="s">
        <v>69</v>
      </c>
      <c r="M26" s="50" t="s">
        <v>361</v>
      </c>
    </row>
    <row r="27" spans="1:15" x14ac:dyDescent="0.25">
      <c r="B27" s="50"/>
      <c r="C27" s="50"/>
      <c r="D27" s="50"/>
      <c r="E27" s="50"/>
      <c r="F27" s="50"/>
      <c r="G27" s="50" t="s">
        <v>356</v>
      </c>
      <c r="H27" s="50"/>
      <c r="I27" s="50" t="s">
        <v>357</v>
      </c>
      <c r="J27" s="50" t="s">
        <v>363</v>
      </c>
      <c r="K27" s="50"/>
      <c r="L27" s="50" t="s">
        <v>364</v>
      </c>
      <c r="M27" s="50"/>
    </row>
    <row r="28" spans="1:15" x14ac:dyDescent="0.25">
      <c r="B28" s="50"/>
      <c r="C28" s="50"/>
      <c r="D28" s="50"/>
      <c r="E28" s="50"/>
      <c r="F28" s="50"/>
      <c r="G28" s="50"/>
      <c r="H28" s="50"/>
      <c r="I28" s="50" t="s">
        <v>358</v>
      </c>
      <c r="J28" s="50"/>
      <c r="K28" s="50"/>
      <c r="L28" s="50" t="s">
        <v>361</v>
      </c>
      <c r="M28" s="50"/>
    </row>
    <row r="29" spans="1:15" x14ac:dyDescent="0.25">
      <c r="B29" s="50"/>
      <c r="C29" s="50"/>
      <c r="D29" s="50"/>
      <c r="E29" s="50"/>
      <c r="F29" s="50"/>
      <c r="G29" s="50"/>
      <c r="H29" s="50"/>
      <c r="I29" s="50" t="s">
        <v>359</v>
      </c>
      <c r="J29" s="50"/>
      <c r="K29" s="50"/>
      <c r="L29" s="50"/>
      <c r="M29" s="50"/>
    </row>
    <row r="30" spans="1:15" x14ac:dyDescent="0.25">
      <c r="B30" s="50"/>
      <c r="C30" s="50"/>
      <c r="D30" s="50"/>
      <c r="E30" s="50"/>
      <c r="F30" s="50"/>
      <c r="G30" s="50"/>
      <c r="H30" s="50"/>
      <c r="I30" s="50" t="s">
        <v>360</v>
      </c>
      <c r="J30" s="50"/>
      <c r="K30" s="50"/>
      <c r="L30" s="50"/>
      <c r="M30" s="50"/>
    </row>
    <row r="31" spans="1:15" x14ac:dyDescent="0.25">
      <c r="F31" s="50"/>
      <c r="I31" s="50" t="s">
        <v>361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workbookViewId="0">
      <selection activeCell="W7" sqref="W7"/>
    </sheetView>
  </sheetViews>
  <sheetFormatPr defaultRowHeight="15" x14ac:dyDescent="0.25"/>
  <sheetData>
    <row r="1" spans="1:15" ht="21" x14ac:dyDescent="0.35">
      <c r="A1" s="245" t="s">
        <v>434</v>
      </c>
      <c r="B1" s="155"/>
    </row>
    <row r="2" spans="1:15" ht="21" x14ac:dyDescent="0.35">
      <c r="A2" s="245"/>
      <c r="B2" s="155"/>
    </row>
    <row r="3" spans="1:15" x14ac:dyDescent="0.25">
      <c r="A3" s="229" t="s">
        <v>426</v>
      </c>
      <c r="B3" s="229"/>
      <c r="C3" s="229"/>
      <c r="D3" s="229"/>
    </row>
    <row r="4" spans="1:15" s="1" customFormat="1" x14ac:dyDescent="0.25">
      <c r="A4" s="2" t="s">
        <v>271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4" t="s">
        <v>14</v>
      </c>
    </row>
    <row r="5" spans="1:15" s="1" customForma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5" s="1" customFormat="1" x14ac:dyDescent="0.25">
      <c r="A6" s="4" t="s">
        <v>15</v>
      </c>
      <c r="B6" s="5">
        <v>95</v>
      </c>
      <c r="C6" s="3">
        <v>99</v>
      </c>
      <c r="D6" s="3">
        <v>100</v>
      </c>
      <c r="E6" s="3">
        <v>103.5</v>
      </c>
      <c r="F6" s="3">
        <v>109</v>
      </c>
      <c r="G6" s="6">
        <v>114</v>
      </c>
      <c r="H6" s="3">
        <v>120.5</v>
      </c>
      <c r="I6" s="3">
        <v>126</v>
      </c>
      <c r="J6" s="3">
        <v>129</v>
      </c>
      <c r="K6" s="3">
        <v>135</v>
      </c>
      <c r="L6" s="3">
        <v>139</v>
      </c>
      <c r="M6" s="3">
        <v>145</v>
      </c>
      <c r="N6" s="7">
        <f>SUM(B6:M6)/12</f>
        <v>117.91666666666667</v>
      </c>
    </row>
    <row r="7" spans="1:15" s="1" customFormat="1" x14ac:dyDescent="0.25">
      <c r="A7" s="4" t="s">
        <v>16</v>
      </c>
      <c r="B7" s="8"/>
      <c r="C7" s="8"/>
      <c r="D7" s="8"/>
      <c r="E7" s="8">
        <v>1</v>
      </c>
      <c r="F7" s="8">
        <v>1</v>
      </c>
      <c r="G7" s="8">
        <v>1</v>
      </c>
      <c r="H7" s="8">
        <v>1</v>
      </c>
      <c r="I7" s="8"/>
      <c r="J7" s="8"/>
      <c r="K7" s="8"/>
      <c r="L7" s="8"/>
      <c r="M7" s="8"/>
      <c r="N7" s="9">
        <f>SUM(B7:M7)/12</f>
        <v>0.33333333333333331</v>
      </c>
    </row>
    <row r="8" spans="1:15" s="1" customFormat="1" x14ac:dyDescent="0.25">
      <c r="A8" s="4" t="s">
        <v>17</v>
      </c>
      <c r="B8" s="10">
        <v>0.5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>
        <f>SUM(B8:M8)/12</f>
        <v>4.1666666666666664E-2</v>
      </c>
    </row>
    <row r="9" spans="1:15" s="1" customFormat="1" x14ac:dyDescent="0.25">
      <c r="A9" s="4"/>
      <c r="B9" s="10"/>
      <c r="C9" s="10"/>
      <c r="D9" s="10"/>
      <c r="E9" s="10"/>
      <c r="F9" s="10"/>
      <c r="G9" s="10"/>
      <c r="H9" s="8"/>
      <c r="I9" s="10"/>
      <c r="J9" s="10"/>
      <c r="K9" s="10"/>
      <c r="L9" s="10"/>
      <c r="M9" s="10"/>
      <c r="N9" s="11"/>
      <c r="O9" s="12"/>
    </row>
    <row r="10" spans="1:15" s="1" customFormat="1" x14ac:dyDescent="0.25">
      <c r="A10" s="2" t="s">
        <v>51</v>
      </c>
      <c r="B10" s="3">
        <f t="shared" ref="B10:M10" si="0">B6+(B8*1.5)+(B7*0.8)</f>
        <v>95.75</v>
      </c>
      <c r="C10" s="3">
        <f t="shared" si="0"/>
        <v>99</v>
      </c>
      <c r="D10" s="3">
        <f t="shared" si="0"/>
        <v>100</v>
      </c>
      <c r="E10" s="3">
        <f t="shared" si="0"/>
        <v>104.3</v>
      </c>
      <c r="F10" s="3">
        <f t="shared" si="0"/>
        <v>109.8</v>
      </c>
      <c r="G10" s="3">
        <f t="shared" si="0"/>
        <v>114.8</v>
      </c>
      <c r="H10" s="3">
        <f t="shared" si="0"/>
        <v>121.3</v>
      </c>
      <c r="I10" s="3">
        <f t="shared" si="0"/>
        <v>126</v>
      </c>
      <c r="J10" s="3">
        <f t="shared" si="0"/>
        <v>129</v>
      </c>
      <c r="K10" s="3">
        <f t="shared" si="0"/>
        <v>135</v>
      </c>
      <c r="L10" s="3">
        <f t="shared" si="0"/>
        <v>139</v>
      </c>
      <c r="M10" s="3">
        <f t="shared" si="0"/>
        <v>145</v>
      </c>
      <c r="N10" s="9">
        <f>SUM(B10:M10)/12</f>
        <v>118.24583333333332</v>
      </c>
    </row>
    <row r="11" spans="1:15" s="1" customFormat="1" x14ac:dyDescent="0.25">
      <c r="A11" s="13" t="s">
        <v>19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>
        <f>SUM(B11:M11)</f>
        <v>0</v>
      </c>
      <c r="O11" s="15"/>
    </row>
    <row r="12" spans="1:15" s="1" customFormat="1" x14ac:dyDescent="0.25">
      <c r="A12" s="233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234"/>
      <c r="O12" s="15"/>
    </row>
    <row r="13" spans="1:15" x14ac:dyDescent="0.25">
      <c r="A13" s="221" t="s">
        <v>427</v>
      </c>
      <c r="B13" s="221"/>
      <c r="C13" s="221"/>
      <c r="D13" s="221"/>
    </row>
    <row r="14" spans="1:15" s="1" customFormat="1" x14ac:dyDescent="0.25">
      <c r="A14" s="2" t="s">
        <v>271</v>
      </c>
      <c r="B14" s="3" t="s">
        <v>2</v>
      </c>
      <c r="C14" s="3" t="s">
        <v>3</v>
      </c>
      <c r="D14" s="3" t="s">
        <v>4</v>
      </c>
      <c r="E14" s="3" t="s">
        <v>5</v>
      </c>
      <c r="F14" s="3" t="s">
        <v>6</v>
      </c>
      <c r="G14" s="3" t="s">
        <v>7</v>
      </c>
      <c r="H14" s="3" t="s">
        <v>8</v>
      </c>
      <c r="I14" s="3" t="s">
        <v>9</v>
      </c>
      <c r="J14" s="3" t="s">
        <v>10</v>
      </c>
      <c r="K14" s="3" t="s">
        <v>11</v>
      </c>
      <c r="L14" s="3" t="s">
        <v>12</v>
      </c>
      <c r="M14" s="3" t="s">
        <v>13</v>
      </c>
      <c r="N14" s="4" t="s">
        <v>14</v>
      </c>
    </row>
    <row r="15" spans="1:15" s="1" customForma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5" s="1" customFormat="1" x14ac:dyDescent="0.25">
      <c r="A16" s="4" t="s">
        <v>15</v>
      </c>
      <c r="B16" s="5">
        <f>145-37+2</f>
        <v>110</v>
      </c>
      <c r="C16" s="3">
        <v>111</v>
      </c>
      <c r="D16" s="3">
        <v>112</v>
      </c>
      <c r="E16" s="3">
        <v>114</v>
      </c>
      <c r="F16" s="3">
        <v>119</v>
      </c>
      <c r="G16" s="6">
        <v>123</v>
      </c>
      <c r="H16" s="3">
        <v>124</v>
      </c>
      <c r="I16" s="3">
        <v>127</v>
      </c>
      <c r="J16" s="3">
        <v>130</v>
      </c>
      <c r="K16" s="3">
        <v>135</v>
      </c>
      <c r="L16" s="3">
        <v>137</v>
      </c>
      <c r="M16" s="3">
        <v>140</v>
      </c>
      <c r="N16" s="7">
        <f>SUM(B16:M16)/12</f>
        <v>123.5</v>
      </c>
    </row>
    <row r="17" spans="1:15" s="1" customFormat="1" x14ac:dyDescent="0.25">
      <c r="A17" s="4" t="s">
        <v>16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>
        <f>SUM(B17:M17)/12</f>
        <v>0</v>
      </c>
    </row>
    <row r="18" spans="1:15" s="1" customFormat="1" x14ac:dyDescent="0.25">
      <c r="A18" s="4" t="s">
        <v>17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9">
        <f>SUM(B18:M18)/12</f>
        <v>0</v>
      </c>
    </row>
    <row r="19" spans="1:15" s="1" customFormat="1" x14ac:dyDescent="0.25">
      <c r="A19" s="4"/>
      <c r="B19" s="10"/>
      <c r="C19" s="10"/>
      <c r="D19" s="10"/>
      <c r="E19" s="10"/>
      <c r="F19" s="10"/>
      <c r="G19" s="10"/>
      <c r="H19" s="8"/>
      <c r="I19" s="10"/>
      <c r="J19" s="10"/>
      <c r="K19" s="10"/>
      <c r="L19" s="10"/>
      <c r="M19" s="10"/>
      <c r="N19" s="11"/>
      <c r="O19" s="12"/>
    </row>
    <row r="20" spans="1:15" s="1" customFormat="1" x14ac:dyDescent="0.25">
      <c r="A20" s="2" t="s">
        <v>269</v>
      </c>
      <c r="B20" s="3">
        <f t="shared" ref="B20:M20" si="1">B16+(B18*1.5)+(B17*0.8)</f>
        <v>110</v>
      </c>
      <c r="C20" s="3">
        <f t="shared" si="1"/>
        <v>111</v>
      </c>
      <c r="D20" s="3">
        <f t="shared" si="1"/>
        <v>112</v>
      </c>
      <c r="E20" s="3">
        <f t="shared" si="1"/>
        <v>114</v>
      </c>
      <c r="F20" s="3">
        <f t="shared" si="1"/>
        <v>119</v>
      </c>
      <c r="G20" s="3">
        <f t="shared" si="1"/>
        <v>123</v>
      </c>
      <c r="H20" s="3">
        <f t="shared" si="1"/>
        <v>124</v>
      </c>
      <c r="I20" s="3">
        <f t="shared" si="1"/>
        <v>127</v>
      </c>
      <c r="J20" s="3">
        <f t="shared" si="1"/>
        <v>130</v>
      </c>
      <c r="K20" s="3">
        <f t="shared" si="1"/>
        <v>135</v>
      </c>
      <c r="L20" s="3">
        <f t="shared" si="1"/>
        <v>137</v>
      </c>
      <c r="M20" s="3">
        <f t="shared" si="1"/>
        <v>140</v>
      </c>
      <c r="N20" s="9">
        <f>SUM(B20:M20)/12</f>
        <v>123.5</v>
      </c>
    </row>
    <row r="21" spans="1:15" s="1" customFormat="1" x14ac:dyDescent="0.25">
      <c r="A21" s="13" t="s">
        <v>19</v>
      </c>
      <c r="B21" s="14">
        <v>2</v>
      </c>
      <c r="C21" s="15">
        <v>1</v>
      </c>
      <c r="D21" s="15">
        <v>1</v>
      </c>
      <c r="E21" s="15">
        <v>2</v>
      </c>
      <c r="F21" s="15">
        <v>5</v>
      </c>
      <c r="G21" s="15">
        <v>4</v>
      </c>
      <c r="H21" s="15">
        <v>1</v>
      </c>
      <c r="I21" s="15">
        <v>3</v>
      </c>
      <c r="J21" s="15">
        <v>3</v>
      </c>
      <c r="K21" s="15">
        <v>5</v>
      </c>
      <c r="L21" s="15">
        <v>2</v>
      </c>
      <c r="M21" s="15">
        <v>3</v>
      </c>
      <c r="N21" s="16">
        <f>SUM(B21:M21)</f>
        <v>32</v>
      </c>
      <c r="O21" s="15"/>
    </row>
    <row r="22" spans="1:15" s="1" customFormat="1" x14ac:dyDescent="0.25">
      <c r="A22" s="233"/>
      <c r="B22" s="14" t="s">
        <v>430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34"/>
      <c r="O22" s="15"/>
    </row>
    <row r="23" spans="1:15" x14ac:dyDescent="0.25">
      <c r="A23" s="172"/>
      <c r="B23" s="43"/>
    </row>
    <row r="24" spans="1:15" x14ac:dyDescent="0.25">
      <c r="A24" s="189" t="s">
        <v>428</v>
      </c>
      <c r="B24" s="189"/>
      <c r="C24" s="189"/>
      <c r="D24" s="189"/>
    </row>
    <row r="25" spans="1:15" s="1" customFormat="1" x14ac:dyDescent="0.25">
      <c r="A25" s="2" t="s">
        <v>271</v>
      </c>
      <c r="B25" s="3" t="s">
        <v>2</v>
      </c>
      <c r="C25" s="3" t="s">
        <v>3</v>
      </c>
      <c r="D25" s="3" t="s">
        <v>4</v>
      </c>
      <c r="E25" s="3" t="s">
        <v>5</v>
      </c>
      <c r="F25" s="3" t="s">
        <v>6</v>
      </c>
      <c r="G25" s="3" t="s">
        <v>7</v>
      </c>
      <c r="H25" s="3" t="s">
        <v>8</v>
      </c>
      <c r="I25" s="3" t="s">
        <v>9</v>
      </c>
      <c r="J25" s="3" t="s">
        <v>10</v>
      </c>
      <c r="K25" s="3" t="s">
        <v>11</v>
      </c>
      <c r="L25" s="3" t="s">
        <v>12</v>
      </c>
      <c r="M25" s="3" t="s">
        <v>13</v>
      </c>
      <c r="N25" s="4" t="s">
        <v>14</v>
      </c>
    </row>
    <row r="26" spans="1:15" s="1" customForma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5" s="1" customFormat="1" x14ac:dyDescent="0.25">
      <c r="A27" s="4" t="s">
        <v>15</v>
      </c>
      <c r="B27" s="5">
        <f>140-41+1</f>
        <v>100</v>
      </c>
      <c r="C27" s="3">
        <v>103</v>
      </c>
      <c r="D27" s="3">
        <v>107</v>
      </c>
      <c r="E27" s="3">
        <v>111</v>
      </c>
      <c r="F27" s="3">
        <v>113</v>
      </c>
      <c r="G27" s="6">
        <v>113</v>
      </c>
      <c r="H27" s="3">
        <v>114</v>
      </c>
      <c r="I27" s="3">
        <v>118</v>
      </c>
      <c r="J27" s="3">
        <v>119</v>
      </c>
      <c r="K27" s="3">
        <v>119</v>
      </c>
      <c r="L27" s="3">
        <v>125</v>
      </c>
      <c r="M27" s="3">
        <v>127</v>
      </c>
      <c r="N27" s="7">
        <f>SUM(B27:M27)/12</f>
        <v>114.08333333333333</v>
      </c>
    </row>
    <row r="28" spans="1:15" s="1" customFormat="1" x14ac:dyDescent="0.25">
      <c r="A28" s="4" t="s">
        <v>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>
        <f>SUM(B28:M28)/12</f>
        <v>0</v>
      </c>
    </row>
    <row r="29" spans="1:15" s="1" customFormat="1" x14ac:dyDescent="0.25">
      <c r="A29" s="4" t="s">
        <v>17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9">
        <f>SUM(B29:M29)/12</f>
        <v>0</v>
      </c>
    </row>
    <row r="30" spans="1:15" s="1" customFormat="1" x14ac:dyDescent="0.25">
      <c r="A30" s="4"/>
      <c r="B30" s="10"/>
      <c r="C30" s="10"/>
      <c r="D30" s="10"/>
      <c r="E30" s="10"/>
      <c r="F30" s="10"/>
      <c r="G30" s="10"/>
      <c r="H30" s="8"/>
      <c r="I30" s="10"/>
      <c r="J30" s="10"/>
      <c r="K30" s="10"/>
      <c r="L30" s="10"/>
      <c r="M30" s="10"/>
      <c r="N30" s="11"/>
      <c r="O30" s="12"/>
    </row>
    <row r="31" spans="1:15" s="1" customFormat="1" x14ac:dyDescent="0.25">
      <c r="A31" s="2" t="s">
        <v>270</v>
      </c>
      <c r="B31" s="3">
        <f t="shared" ref="B31:M31" si="2">B27+(B29*1.5)+(B28*0.8)</f>
        <v>100</v>
      </c>
      <c r="C31" s="3">
        <f t="shared" si="2"/>
        <v>103</v>
      </c>
      <c r="D31" s="3">
        <f t="shared" si="2"/>
        <v>107</v>
      </c>
      <c r="E31" s="3">
        <f t="shared" si="2"/>
        <v>111</v>
      </c>
      <c r="F31" s="3">
        <f t="shared" si="2"/>
        <v>113</v>
      </c>
      <c r="G31" s="3">
        <f t="shared" si="2"/>
        <v>113</v>
      </c>
      <c r="H31" s="3">
        <f t="shared" si="2"/>
        <v>114</v>
      </c>
      <c r="I31" s="3">
        <f t="shared" si="2"/>
        <v>118</v>
      </c>
      <c r="J31" s="3">
        <f t="shared" si="2"/>
        <v>119</v>
      </c>
      <c r="K31" s="3">
        <f t="shared" si="2"/>
        <v>119</v>
      </c>
      <c r="L31" s="3">
        <f t="shared" si="2"/>
        <v>125</v>
      </c>
      <c r="M31" s="3">
        <f t="shared" si="2"/>
        <v>127</v>
      </c>
      <c r="N31" s="9">
        <f>SUM(B31:M31)/12</f>
        <v>114.08333333333333</v>
      </c>
    </row>
    <row r="32" spans="1:15" s="1" customFormat="1" x14ac:dyDescent="0.25">
      <c r="A32" s="13" t="s">
        <v>19</v>
      </c>
      <c r="B32" s="14">
        <v>1</v>
      </c>
      <c r="C32" s="15">
        <v>3</v>
      </c>
      <c r="D32" s="15">
        <v>4</v>
      </c>
      <c r="E32" s="15">
        <v>4</v>
      </c>
      <c r="F32" s="15">
        <v>2</v>
      </c>
      <c r="G32" s="15">
        <v>0</v>
      </c>
      <c r="H32" s="15">
        <v>1</v>
      </c>
      <c r="I32" s="15">
        <v>4</v>
      </c>
      <c r="J32" s="15">
        <v>1</v>
      </c>
      <c r="K32" s="15">
        <v>0</v>
      </c>
      <c r="L32" s="15">
        <v>6</v>
      </c>
      <c r="M32" s="15">
        <v>2</v>
      </c>
      <c r="N32" s="16">
        <f>SUM(B32:M32)</f>
        <v>28</v>
      </c>
      <c r="O32" s="15"/>
    </row>
    <row r="33" spans="1:15" x14ac:dyDescent="0.25">
      <c r="A33" s="172"/>
      <c r="B33" s="43" t="s">
        <v>432</v>
      </c>
      <c r="L33" s="302"/>
      <c r="M33" s="303"/>
      <c r="N33" s="303"/>
    </row>
    <row r="34" spans="1:15" x14ac:dyDescent="0.25">
      <c r="A34" s="172"/>
      <c r="B34" s="43"/>
      <c r="L34" s="302"/>
      <c r="M34" s="303"/>
      <c r="N34" s="303"/>
    </row>
    <row r="35" spans="1:15" x14ac:dyDescent="0.25">
      <c r="A35" s="251" t="s">
        <v>429</v>
      </c>
      <c r="B35" s="251"/>
      <c r="C35" s="251"/>
      <c r="D35" s="251"/>
    </row>
    <row r="36" spans="1:15" s="1" customFormat="1" x14ac:dyDescent="0.25">
      <c r="A36" s="2" t="s">
        <v>271</v>
      </c>
      <c r="B36" s="3" t="s">
        <v>2</v>
      </c>
      <c r="C36" s="3" t="s">
        <v>3</v>
      </c>
      <c r="D36" s="3" t="s">
        <v>4</v>
      </c>
      <c r="E36" s="3" t="s">
        <v>5</v>
      </c>
      <c r="F36" s="3" t="s">
        <v>6</v>
      </c>
      <c r="G36" s="3" t="s">
        <v>7</v>
      </c>
      <c r="H36" s="3" t="s">
        <v>8</v>
      </c>
      <c r="I36" s="3" t="s">
        <v>9</v>
      </c>
      <c r="J36" s="3" t="s">
        <v>10</v>
      </c>
      <c r="K36" s="3" t="s">
        <v>11</v>
      </c>
      <c r="L36" s="3" t="s">
        <v>12</v>
      </c>
      <c r="M36" s="3" t="s">
        <v>13</v>
      </c>
      <c r="N36" s="4" t="s">
        <v>14</v>
      </c>
    </row>
    <row r="37" spans="1:15" s="1" customForma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5" s="1" customFormat="1" x14ac:dyDescent="0.25">
      <c r="A38" s="4" t="s">
        <v>15</v>
      </c>
      <c r="B38" s="5">
        <f>127-38+2</f>
        <v>91</v>
      </c>
      <c r="C38" s="3">
        <v>92</v>
      </c>
      <c r="D38" s="3">
        <v>93</v>
      </c>
      <c r="E38" s="3">
        <v>96</v>
      </c>
      <c r="F38" s="3">
        <v>97</v>
      </c>
      <c r="G38" s="6">
        <v>101</v>
      </c>
      <c r="H38" s="3">
        <v>101</v>
      </c>
      <c r="I38" s="3">
        <v>101</v>
      </c>
      <c r="J38" s="3">
        <v>101</v>
      </c>
      <c r="K38" s="3">
        <v>101</v>
      </c>
      <c r="L38" s="3">
        <v>101</v>
      </c>
      <c r="M38" s="3">
        <v>101</v>
      </c>
      <c r="N38" s="7">
        <f>SUM(B38:M38)/12</f>
        <v>98</v>
      </c>
    </row>
    <row r="39" spans="1:15" s="1" customFormat="1" x14ac:dyDescent="0.25">
      <c r="A39" s="4" t="s">
        <v>16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>
        <f>SUM(B39:M39)/12</f>
        <v>0</v>
      </c>
    </row>
    <row r="40" spans="1:15" s="1" customFormat="1" x14ac:dyDescent="0.25">
      <c r="A40" s="4" t="s">
        <v>17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9">
        <f>SUM(B40:M40)/12</f>
        <v>0</v>
      </c>
    </row>
    <row r="41" spans="1:15" s="1" customFormat="1" x14ac:dyDescent="0.25">
      <c r="A41" s="4"/>
      <c r="B41" s="10"/>
      <c r="C41" s="10"/>
      <c r="D41" s="10"/>
      <c r="E41" s="10"/>
      <c r="F41" s="10"/>
      <c r="G41" s="10"/>
      <c r="H41" s="8"/>
      <c r="I41" s="10"/>
      <c r="J41" s="10"/>
      <c r="K41" s="10"/>
      <c r="L41" s="10"/>
      <c r="M41" s="10"/>
      <c r="N41" s="11"/>
      <c r="O41" s="12"/>
    </row>
    <row r="42" spans="1:15" s="1" customFormat="1" x14ac:dyDescent="0.25">
      <c r="A42" s="2" t="s">
        <v>270</v>
      </c>
      <c r="B42" s="3">
        <f t="shared" ref="B42:M42" si="3">B38+(B40*1.5)+(B39*0.8)</f>
        <v>91</v>
      </c>
      <c r="C42" s="3">
        <f t="shared" si="3"/>
        <v>92</v>
      </c>
      <c r="D42" s="3">
        <f t="shared" si="3"/>
        <v>93</v>
      </c>
      <c r="E42" s="3">
        <f t="shared" si="3"/>
        <v>96</v>
      </c>
      <c r="F42" s="3">
        <f t="shared" si="3"/>
        <v>97</v>
      </c>
      <c r="G42" s="3">
        <f t="shared" si="3"/>
        <v>101</v>
      </c>
      <c r="H42" s="3">
        <f t="shared" si="3"/>
        <v>101</v>
      </c>
      <c r="I42" s="3">
        <f t="shared" si="3"/>
        <v>101</v>
      </c>
      <c r="J42" s="3">
        <f t="shared" si="3"/>
        <v>101</v>
      </c>
      <c r="K42" s="3">
        <f t="shared" si="3"/>
        <v>101</v>
      </c>
      <c r="L42" s="3">
        <f t="shared" si="3"/>
        <v>101</v>
      </c>
      <c r="M42" s="3">
        <f t="shared" si="3"/>
        <v>101</v>
      </c>
      <c r="N42" s="9">
        <f>SUM(B42:M42)/12</f>
        <v>98</v>
      </c>
    </row>
    <row r="43" spans="1:15" s="1" customFormat="1" x14ac:dyDescent="0.25">
      <c r="A43" s="13" t="s">
        <v>19</v>
      </c>
      <c r="B43" s="14">
        <v>2</v>
      </c>
      <c r="C43" s="15">
        <v>1</v>
      </c>
      <c r="D43" s="15">
        <v>0</v>
      </c>
      <c r="E43" s="15">
        <v>2</v>
      </c>
      <c r="F43" s="15">
        <v>1</v>
      </c>
      <c r="G43" s="15">
        <v>2</v>
      </c>
      <c r="H43" s="15"/>
      <c r="I43" s="240" t="s">
        <v>267</v>
      </c>
      <c r="J43" s="85"/>
      <c r="K43" s="85"/>
      <c r="L43" s="85"/>
      <c r="M43" s="85"/>
      <c r="N43" s="16">
        <f>SUM(B43:M43)</f>
        <v>8</v>
      </c>
      <c r="O43" s="15"/>
    </row>
    <row r="44" spans="1:15" x14ac:dyDescent="0.25">
      <c r="A44" s="172"/>
      <c r="B44" s="304"/>
      <c r="C44" s="305"/>
      <c r="D44" s="307">
        <v>1</v>
      </c>
      <c r="E44" s="307">
        <v>1</v>
      </c>
      <c r="F44" s="307"/>
      <c r="G44" s="307">
        <v>2</v>
      </c>
      <c r="H44" s="307"/>
      <c r="I44" s="306" t="s">
        <v>431</v>
      </c>
      <c r="J44" s="305"/>
      <c r="K44" s="305"/>
    </row>
    <row r="45" spans="1:15" x14ac:dyDescent="0.25">
      <c r="A45" s="172"/>
      <c r="B45" s="43" t="s">
        <v>433</v>
      </c>
      <c r="N45" s="23"/>
    </row>
    <row r="47" spans="1:15" ht="15.75" customHeight="1" x14ac:dyDescent="0.35">
      <c r="A47" s="310"/>
      <c r="B47" s="311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</row>
    <row r="48" spans="1:15" ht="21" x14ac:dyDescent="0.35">
      <c r="A48" s="245"/>
      <c r="B48" s="155"/>
    </row>
    <row r="49" spans="1:15" x14ac:dyDescent="0.25">
      <c r="A49" s="229" t="s">
        <v>303</v>
      </c>
      <c r="B49" s="229"/>
      <c r="C49" s="229"/>
      <c r="D49" s="229"/>
    </row>
    <row r="50" spans="1:15" s="1" customFormat="1" x14ac:dyDescent="0.25">
      <c r="A50" s="2" t="s">
        <v>271</v>
      </c>
      <c r="B50" s="3" t="s">
        <v>2</v>
      </c>
      <c r="C50" s="3" t="s">
        <v>3</v>
      </c>
      <c r="D50" s="3" t="s">
        <v>4</v>
      </c>
      <c r="E50" s="3" t="s">
        <v>5</v>
      </c>
      <c r="F50" s="3" t="s">
        <v>6</v>
      </c>
      <c r="G50" s="3" t="s">
        <v>7</v>
      </c>
      <c r="H50" s="3" t="s">
        <v>8</v>
      </c>
      <c r="I50" s="3" t="s">
        <v>9</v>
      </c>
      <c r="J50" s="3" t="s">
        <v>10</v>
      </c>
      <c r="K50" s="3" t="s">
        <v>11</v>
      </c>
      <c r="L50" s="3" t="s">
        <v>12</v>
      </c>
      <c r="M50" s="3" t="s">
        <v>13</v>
      </c>
      <c r="N50" s="4" t="s">
        <v>14</v>
      </c>
    </row>
    <row r="51" spans="1:15" s="1" customForma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5" s="1" customFormat="1" x14ac:dyDescent="0.25">
      <c r="A52" s="4" t="s">
        <v>15</v>
      </c>
      <c r="B52" s="5">
        <v>95</v>
      </c>
      <c r="C52" s="3">
        <v>99</v>
      </c>
      <c r="D52" s="3">
        <f>99+2-1</f>
        <v>100</v>
      </c>
      <c r="E52" s="3">
        <v>104</v>
      </c>
      <c r="F52" s="3">
        <v>111</v>
      </c>
      <c r="G52" s="6">
        <v>114</v>
      </c>
      <c r="H52" s="3">
        <v>117</v>
      </c>
      <c r="I52" s="3">
        <v>121</v>
      </c>
      <c r="J52" s="3">
        <v>122</v>
      </c>
      <c r="K52" s="3">
        <v>126</v>
      </c>
      <c r="L52" s="3">
        <v>130</v>
      </c>
      <c r="M52" s="3">
        <v>136</v>
      </c>
      <c r="N52" s="7">
        <f>SUM(B52:M52)/12</f>
        <v>114.58333333333333</v>
      </c>
    </row>
    <row r="53" spans="1:15" s="1" customFormat="1" x14ac:dyDescent="0.25">
      <c r="A53" s="4" t="s">
        <v>16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>
        <f>SUM(B53:M53)/12</f>
        <v>0</v>
      </c>
    </row>
    <row r="54" spans="1:15" s="1" customFormat="1" x14ac:dyDescent="0.25">
      <c r="A54" s="4" t="s">
        <v>17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9">
        <f>SUM(B54:M54)/12</f>
        <v>0</v>
      </c>
    </row>
    <row r="55" spans="1:15" s="1" customFormat="1" x14ac:dyDescent="0.25">
      <c r="A55" s="4"/>
      <c r="B55" s="10"/>
      <c r="C55" s="10"/>
      <c r="D55" s="10"/>
      <c r="E55" s="10"/>
      <c r="F55" s="10"/>
      <c r="G55" s="10"/>
      <c r="H55" s="8"/>
      <c r="I55" s="10"/>
      <c r="J55" s="10"/>
      <c r="K55" s="10"/>
      <c r="L55" s="10"/>
      <c r="M55" s="10"/>
      <c r="N55" s="11"/>
      <c r="O55" s="12"/>
    </row>
    <row r="56" spans="1:15" s="1" customFormat="1" x14ac:dyDescent="0.25">
      <c r="A56" s="2" t="s">
        <v>51</v>
      </c>
      <c r="B56" s="3">
        <f t="shared" ref="B56:M56" si="4">B52+(B54*1.5)+(B53*0.8)</f>
        <v>95</v>
      </c>
      <c r="C56" s="3">
        <f t="shared" si="4"/>
        <v>99</v>
      </c>
      <c r="D56" s="3">
        <f t="shared" si="4"/>
        <v>100</v>
      </c>
      <c r="E56" s="3">
        <f t="shared" si="4"/>
        <v>104</v>
      </c>
      <c r="F56" s="3">
        <f t="shared" si="4"/>
        <v>111</v>
      </c>
      <c r="G56" s="3">
        <f t="shared" si="4"/>
        <v>114</v>
      </c>
      <c r="H56" s="3">
        <f t="shared" si="4"/>
        <v>117</v>
      </c>
      <c r="I56" s="3">
        <f t="shared" si="4"/>
        <v>121</v>
      </c>
      <c r="J56" s="3">
        <f t="shared" si="4"/>
        <v>122</v>
      </c>
      <c r="K56" s="3">
        <f t="shared" si="4"/>
        <v>126</v>
      </c>
      <c r="L56" s="3">
        <f t="shared" si="4"/>
        <v>130</v>
      </c>
      <c r="M56" s="3">
        <f t="shared" si="4"/>
        <v>136</v>
      </c>
      <c r="N56" s="9">
        <f>SUM(B56:M56)/12</f>
        <v>114.58333333333333</v>
      </c>
    </row>
    <row r="57" spans="1:15" s="1" customFormat="1" x14ac:dyDescent="0.25">
      <c r="A57" s="13" t="s">
        <v>19</v>
      </c>
      <c r="B57" s="14">
        <v>2</v>
      </c>
      <c r="C57" s="15">
        <v>4</v>
      </c>
      <c r="D57" s="15">
        <v>2</v>
      </c>
      <c r="E57" s="15">
        <v>4</v>
      </c>
      <c r="F57" s="15">
        <v>7</v>
      </c>
      <c r="G57" s="15">
        <v>3</v>
      </c>
      <c r="H57" s="15">
        <v>3</v>
      </c>
      <c r="I57" s="15">
        <v>4</v>
      </c>
      <c r="J57" s="15">
        <v>1</v>
      </c>
      <c r="K57" s="15">
        <v>4</v>
      </c>
      <c r="L57" s="15">
        <v>4</v>
      </c>
      <c r="M57" s="15">
        <v>6</v>
      </c>
      <c r="N57" s="16">
        <f>SUM(B57:M57)</f>
        <v>44</v>
      </c>
      <c r="O57" s="15"/>
    </row>
    <row r="58" spans="1:15" x14ac:dyDescent="0.25">
      <c r="B58" s="43"/>
      <c r="C58" t="s">
        <v>136</v>
      </c>
      <c r="F58" s="84" t="s">
        <v>272</v>
      </c>
    </row>
    <row r="60" spans="1:15" x14ac:dyDescent="0.25">
      <c r="A60" s="221" t="s">
        <v>304</v>
      </c>
      <c r="B60" s="221"/>
      <c r="C60" s="221"/>
      <c r="D60" s="221"/>
    </row>
    <row r="61" spans="1:15" s="1" customFormat="1" x14ac:dyDescent="0.25">
      <c r="A61" s="2" t="s">
        <v>271</v>
      </c>
      <c r="B61" s="3" t="s">
        <v>2</v>
      </c>
      <c r="C61" s="3" t="s">
        <v>3</v>
      </c>
      <c r="D61" s="3" t="s">
        <v>4</v>
      </c>
      <c r="E61" s="3" t="s">
        <v>5</v>
      </c>
      <c r="F61" s="3" t="s">
        <v>6</v>
      </c>
      <c r="G61" s="3" t="s">
        <v>7</v>
      </c>
      <c r="H61" s="3" t="s">
        <v>8</v>
      </c>
      <c r="I61" s="3" t="s">
        <v>9</v>
      </c>
      <c r="J61" s="3" t="s">
        <v>10</v>
      </c>
      <c r="K61" s="3" t="s">
        <v>11</v>
      </c>
      <c r="L61" s="3" t="s">
        <v>12</v>
      </c>
      <c r="M61" s="3" t="s">
        <v>13</v>
      </c>
      <c r="N61" s="4" t="s">
        <v>14</v>
      </c>
    </row>
    <row r="62" spans="1:15" s="1" customForma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5" s="1" customFormat="1" x14ac:dyDescent="0.25">
      <c r="A63" s="4" t="s">
        <v>15</v>
      </c>
      <c r="B63" s="5">
        <f>136-37+2</f>
        <v>101</v>
      </c>
      <c r="C63" s="3">
        <v>101</v>
      </c>
      <c r="D63" s="3">
        <v>102</v>
      </c>
      <c r="E63" s="3">
        <v>104</v>
      </c>
      <c r="F63" s="3">
        <v>107</v>
      </c>
      <c r="G63" s="6">
        <v>112</v>
      </c>
      <c r="H63" s="3">
        <v>113</v>
      </c>
      <c r="I63" s="3">
        <v>116</v>
      </c>
      <c r="J63" s="3">
        <v>119</v>
      </c>
      <c r="K63" s="3">
        <v>124</v>
      </c>
      <c r="L63" s="3">
        <v>125</v>
      </c>
      <c r="M63" s="3">
        <v>126</v>
      </c>
      <c r="N63" s="7">
        <f>SUM(B63:M63)/12</f>
        <v>112.5</v>
      </c>
    </row>
    <row r="64" spans="1:15" s="1" customFormat="1" x14ac:dyDescent="0.25">
      <c r="A64" s="4" t="s">
        <v>16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>
        <f>SUM(B64:M64)/12</f>
        <v>0</v>
      </c>
    </row>
    <row r="65" spans="1:15" s="1" customFormat="1" x14ac:dyDescent="0.25">
      <c r="A65" s="4" t="s">
        <v>17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9">
        <f>SUM(B65:M65)/12</f>
        <v>0</v>
      </c>
    </row>
    <row r="66" spans="1:15" s="1" customFormat="1" x14ac:dyDescent="0.25">
      <c r="A66" s="4"/>
      <c r="B66" s="10"/>
      <c r="C66" s="10"/>
      <c r="D66" s="10"/>
      <c r="E66" s="10"/>
      <c r="F66" s="10"/>
      <c r="G66" s="10"/>
      <c r="H66" s="8"/>
      <c r="I66" s="10"/>
      <c r="J66" s="10"/>
      <c r="K66" s="10"/>
      <c r="L66" s="10"/>
      <c r="M66" s="10"/>
      <c r="N66" s="11"/>
      <c r="O66" s="12"/>
    </row>
    <row r="67" spans="1:15" s="1" customFormat="1" x14ac:dyDescent="0.25">
      <c r="A67" s="2" t="s">
        <v>269</v>
      </c>
      <c r="B67" s="3">
        <f t="shared" ref="B67:M67" si="5">B63+(B65*1.5)+(B64*0.8)</f>
        <v>101</v>
      </c>
      <c r="C67" s="3">
        <f t="shared" si="5"/>
        <v>101</v>
      </c>
      <c r="D67" s="3">
        <f t="shared" si="5"/>
        <v>102</v>
      </c>
      <c r="E67" s="3">
        <f t="shared" si="5"/>
        <v>104</v>
      </c>
      <c r="F67" s="3">
        <f t="shared" si="5"/>
        <v>107</v>
      </c>
      <c r="G67" s="3">
        <f t="shared" si="5"/>
        <v>112</v>
      </c>
      <c r="H67" s="3">
        <f t="shared" si="5"/>
        <v>113</v>
      </c>
      <c r="I67" s="3">
        <f t="shared" si="5"/>
        <v>116</v>
      </c>
      <c r="J67" s="3">
        <f t="shared" si="5"/>
        <v>119</v>
      </c>
      <c r="K67" s="3">
        <f t="shared" si="5"/>
        <v>124</v>
      </c>
      <c r="L67" s="3">
        <f t="shared" si="5"/>
        <v>125</v>
      </c>
      <c r="M67" s="3">
        <f t="shared" si="5"/>
        <v>126</v>
      </c>
      <c r="N67" s="9">
        <f>SUM(B67:M67)/12</f>
        <v>112.5</v>
      </c>
    </row>
    <row r="68" spans="1:15" s="1" customFormat="1" x14ac:dyDescent="0.25">
      <c r="A68" s="13" t="s">
        <v>19</v>
      </c>
      <c r="B68" s="14">
        <v>2</v>
      </c>
      <c r="C68" s="15">
        <v>0</v>
      </c>
      <c r="D68" s="15">
        <v>1</v>
      </c>
      <c r="E68" s="15">
        <v>2</v>
      </c>
      <c r="F68" s="15">
        <v>3</v>
      </c>
      <c r="G68" s="15">
        <v>5</v>
      </c>
      <c r="H68" s="15">
        <v>1</v>
      </c>
      <c r="I68" s="15">
        <v>3</v>
      </c>
      <c r="J68" s="15">
        <v>3</v>
      </c>
      <c r="K68" s="15">
        <v>5</v>
      </c>
      <c r="L68" s="15">
        <v>1</v>
      </c>
      <c r="M68" s="15">
        <v>1</v>
      </c>
      <c r="N68" s="16">
        <f>SUM(B68:M68)</f>
        <v>27</v>
      </c>
      <c r="O68" s="15"/>
    </row>
    <row r="69" spans="1:15" x14ac:dyDescent="0.25">
      <c r="A69" s="172"/>
      <c r="B69" s="43" t="s">
        <v>273</v>
      </c>
    </row>
    <row r="70" spans="1:15" x14ac:dyDescent="0.25">
      <c r="A70" s="189" t="s">
        <v>305</v>
      </c>
      <c r="B70" s="189"/>
      <c r="C70" s="189"/>
      <c r="D70" s="189"/>
    </row>
    <row r="71" spans="1:15" s="1" customFormat="1" x14ac:dyDescent="0.25">
      <c r="A71" s="2" t="s">
        <v>271</v>
      </c>
      <c r="B71" s="3" t="s">
        <v>2</v>
      </c>
      <c r="C71" s="3" t="s">
        <v>3</v>
      </c>
      <c r="D71" s="3" t="s">
        <v>4</v>
      </c>
      <c r="E71" s="3" t="s">
        <v>5</v>
      </c>
      <c r="F71" s="3" t="s">
        <v>6</v>
      </c>
      <c r="G71" s="3" t="s">
        <v>7</v>
      </c>
      <c r="H71" s="3" t="s">
        <v>8</v>
      </c>
      <c r="I71" s="3" t="s">
        <v>9</v>
      </c>
      <c r="J71" s="3" t="s">
        <v>10</v>
      </c>
      <c r="K71" s="3" t="s">
        <v>11</v>
      </c>
      <c r="L71" s="3" t="s">
        <v>12</v>
      </c>
      <c r="M71" s="3" t="s">
        <v>13</v>
      </c>
      <c r="N71" s="4" t="s">
        <v>14</v>
      </c>
    </row>
    <row r="72" spans="1:15" s="1" customForma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5" s="1" customFormat="1" x14ac:dyDescent="0.25">
      <c r="A73" s="4" t="s">
        <v>15</v>
      </c>
      <c r="B73" s="5">
        <f>126-40+1</f>
        <v>87</v>
      </c>
      <c r="C73" s="3">
        <v>90</v>
      </c>
      <c r="D73" s="3">
        <v>94</v>
      </c>
      <c r="E73" s="3">
        <v>95</v>
      </c>
      <c r="F73" s="3">
        <v>97</v>
      </c>
      <c r="G73" s="6">
        <v>97</v>
      </c>
      <c r="H73" s="3">
        <v>99</v>
      </c>
      <c r="I73" s="3">
        <v>103</v>
      </c>
      <c r="J73" s="3">
        <v>104</v>
      </c>
      <c r="K73" s="3">
        <v>104</v>
      </c>
      <c r="L73" s="3">
        <v>111</v>
      </c>
      <c r="M73" s="3">
        <v>114</v>
      </c>
      <c r="N73" s="7">
        <f>SUM(B73:M73)/12</f>
        <v>99.583333333333329</v>
      </c>
    </row>
    <row r="74" spans="1:15" s="1" customFormat="1" x14ac:dyDescent="0.25">
      <c r="A74" s="4" t="s">
        <v>16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9">
        <f>SUM(B74:M74)/12</f>
        <v>0</v>
      </c>
    </row>
    <row r="75" spans="1:15" s="1" customFormat="1" x14ac:dyDescent="0.25">
      <c r="A75" s="4" t="s">
        <v>17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9">
        <f>SUM(B75:M75)/12</f>
        <v>0</v>
      </c>
    </row>
    <row r="76" spans="1:15" s="1" customFormat="1" x14ac:dyDescent="0.25">
      <c r="A76" s="4"/>
      <c r="B76" s="10"/>
      <c r="C76" s="10"/>
      <c r="D76" s="10"/>
      <c r="E76" s="10"/>
      <c r="F76" s="10"/>
      <c r="G76" s="10"/>
      <c r="H76" s="8"/>
      <c r="I76" s="10"/>
      <c r="J76" s="10"/>
      <c r="K76" s="10"/>
      <c r="L76" s="10"/>
      <c r="M76" s="10"/>
      <c r="N76" s="11"/>
      <c r="O76" s="12"/>
    </row>
    <row r="77" spans="1:15" s="1" customFormat="1" x14ac:dyDescent="0.25">
      <c r="A77" s="2" t="s">
        <v>270</v>
      </c>
      <c r="B77" s="3">
        <f t="shared" ref="B77:M77" si="6">B73+(B75*1.5)+(B74*0.8)</f>
        <v>87</v>
      </c>
      <c r="C77" s="3">
        <f t="shared" si="6"/>
        <v>90</v>
      </c>
      <c r="D77" s="3">
        <f t="shared" si="6"/>
        <v>94</v>
      </c>
      <c r="E77" s="3">
        <f t="shared" si="6"/>
        <v>95</v>
      </c>
      <c r="F77" s="3">
        <f t="shared" si="6"/>
        <v>97</v>
      </c>
      <c r="G77" s="3">
        <f t="shared" si="6"/>
        <v>97</v>
      </c>
      <c r="H77" s="3">
        <f t="shared" si="6"/>
        <v>99</v>
      </c>
      <c r="I77" s="3">
        <f t="shared" si="6"/>
        <v>103</v>
      </c>
      <c r="J77" s="3">
        <f t="shared" si="6"/>
        <v>104</v>
      </c>
      <c r="K77" s="3">
        <f t="shared" si="6"/>
        <v>104</v>
      </c>
      <c r="L77" s="3">
        <f t="shared" si="6"/>
        <v>111</v>
      </c>
      <c r="M77" s="3">
        <f t="shared" si="6"/>
        <v>114</v>
      </c>
      <c r="N77" s="9">
        <f>SUM(B77:M77)/12</f>
        <v>99.583333333333329</v>
      </c>
    </row>
    <row r="78" spans="1:15" s="1" customFormat="1" x14ac:dyDescent="0.25">
      <c r="A78" s="13" t="s">
        <v>19</v>
      </c>
      <c r="B78" s="14">
        <v>1</v>
      </c>
      <c r="C78" s="15">
        <v>3</v>
      </c>
      <c r="D78" s="15">
        <v>4</v>
      </c>
      <c r="E78" s="15">
        <v>1</v>
      </c>
      <c r="F78" s="15">
        <v>2</v>
      </c>
      <c r="G78" s="15">
        <v>0</v>
      </c>
      <c r="H78" s="15">
        <v>2</v>
      </c>
      <c r="I78" s="15">
        <v>4</v>
      </c>
      <c r="J78" s="15">
        <v>1</v>
      </c>
      <c r="K78" s="15">
        <v>0</v>
      </c>
      <c r="L78" s="15">
        <v>7</v>
      </c>
      <c r="M78" s="15">
        <v>3</v>
      </c>
      <c r="N78" s="16">
        <f>SUM(B78:M78)</f>
        <v>28</v>
      </c>
      <c r="O78" s="15"/>
    </row>
    <row r="79" spans="1:15" x14ac:dyDescent="0.25">
      <c r="A79" s="172"/>
      <c r="B79" s="43" t="s">
        <v>306</v>
      </c>
      <c r="L79" s="240" t="s">
        <v>267</v>
      </c>
      <c r="M79" s="85"/>
      <c r="N79" s="85"/>
    </row>
    <row r="81" spans="1:15" ht="15.75" thickBot="1" x14ac:dyDescent="0.3">
      <c r="A81" s="309"/>
      <c r="B81" s="309"/>
      <c r="C81" s="309"/>
      <c r="D81" s="309"/>
      <c r="E81" s="309"/>
      <c r="F81" s="309"/>
      <c r="G81" s="309"/>
      <c r="H81" s="309"/>
      <c r="I81" s="309"/>
      <c r="J81" s="309"/>
      <c r="K81" s="309"/>
      <c r="L81" s="309"/>
      <c r="M81" s="309"/>
      <c r="N81" s="309"/>
    </row>
    <row r="83" spans="1:15" x14ac:dyDescent="0.25">
      <c r="A83" s="229" t="s">
        <v>264</v>
      </c>
      <c r="B83" s="229"/>
      <c r="C83" s="229"/>
      <c r="D83" s="229"/>
    </row>
    <row r="84" spans="1:15" s="1" customFormat="1" x14ac:dyDescent="0.25">
      <c r="A84" s="2" t="s">
        <v>271</v>
      </c>
      <c r="B84" s="3" t="s">
        <v>2</v>
      </c>
      <c r="C84" s="3" t="s">
        <v>3</v>
      </c>
      <c r="D84" s="3" t="s">
        <v>4</v>
      </c>
      <c r="E84" s="3" t="s">
        <v>5</v>
      </c>
      <c r="F84" s="3" t="s">
        <v>6</v>
      </c>
      <c r="G84" s="3" t="s">
        <v>7</v>
      </c>
      <c r="H84" s="3" t="s">
        <v>8</v>
      </c>
      <c r="I84" s="3" t="s">
        <v>9</v>
      </c>
      <c r="J84" s="3" t="s">
        <v>10</v>
      </c>
      <c r="K84" s="3" t="s">
        <v>11</v>
      </c>
      <c r="L84" s="3" t="s">
        <v>12</v>
      </c>
      <c r="M84" s="3" t="s">
        <v>13</v>
      </c>
      <c r="N84" s="4" t="s">
        <v>14</v>
      </c>
    </row>
    <row r="85" spans="1:15" s="1" customForma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5" s="1" customFormat="1" x14ac:dyDescent="0.25">
      <c r="A86" s="4" t="s">
        <v>15</v>
      </c>
      <c r="B86" s="5">
        <f>36+57+1</f>
        <v>94</v>
      </c>
      <c r="C86" s="3">
        <v>98</v>
      </c>
      <c r="D86" s="3">
        <v>100</v>
      </c>
      <c r="E86" s="3">
        <v>104</v>
      </c>
      <c r="F86" s="3">
        <v>111</v>
      </c>
      <c r="G86" s="6">
        <v>114</v>
      </c>
      <c r="H86" s="3">
        <v>117</v>
      </c>
      <c r="I86" s="3">
        <v>121</v>
      </c>
      <c r="J86" s="3">
        <v>122</v>
      </c>
      <c r="K86" s="3">
        <v>126</v>
      </c>
      <c r="L86" s="3">
        <v>130</v>
      </c>
      <c r="M86" s="3">
        <v>136</v>
      </c>
      <c r="N86" s="7">
        <f>SUM(B86:M86)/12</f>
        <v>114.41666666666667</v>
      </c>
    </row>
    <row r="87" spans="1:15" s="1" customFormat="1" x14ac:dyDescent="0.25">
      <c r="A87" s="4" t="s">
        <v>16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9">
        <f>SUM(B87:M87)/12</f>
        <v>0</v>
      </c>
    </row>
    <row r="88" spans="1:15" s="1" customFormat="1" x14ac:dyDescent="0.25">
      <c r="A88" s="4" t="s">
        <v>17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9">
        <f>SUM(B88:M88)/12</f>
        <v>0</v>
      </c>
    </row>
    <row r="89" spans="1:15" s="1" customFormat="1" x14ac:dyDescent="0.25">
      <c r="A89" s="4"/>
      <c r="B89" s="10"/>
      <c r="C89" s="10"/>
      <c r="D89" s="10"/>
      <c r="E89" s="10"/>
      <c r="F89" s="10"/>
      <c r="G89" s="10"/>
      <c r="H89" s="8"/>
      <c r="I89" s="10"/>
      <c r="J89" s="10"/>
      <c r="K89" s="10"/>
      <c r="L89" s="10"/>
      <c r="M89" s="10"/>
      <c r="N89" s="11"/>
      <c r="O89" s="12"/>
    </row>
    <row r="90" spans="1:15" s="1" customFormat="1" x14ac:dyDescent="0.25">
      <c r="A90" s="2" t="s">
        <v>51</v>
      </c>
      <c r="B90" s="3">
        <f t="shared" ref="B90:M90" si="7">B86+(B88*1.5)+(B87*0.8)</f>
        <v>94</v>
      </c>
      <c r="C90" s="3">
        <f t="shared" si="7"/>
        <v>98</v>
      </c>
      <c r="D90" s="3">
        <f t="shared" si="7"/>
        <v>100</v>
      </c>
      <c r="E90" s="3">
        <f t="shared" si="7"/>
        <v>104</v>
      </c>
      <c r="F90" s="3">
        <f t="shared" si="7"/>
        <v>111</v>
      </c>
      <c r="G90" s="3">
        <f t="shared" si="7"/>
        <v>114</v>
      </c>
      <c r="H90" s="3">
        <f t="shared" si="7"/>
        <v>117</v>
      </c>
      <c r="I90" s="3">
        <f t="shared" si="7"/>
        <v>121</v>
      </c>
      <c r="J90" s="3">
        <f t="shared" si="7"/>
        <v>122</v>
      </c>
      <c r="K90" s="3">
        <f t="shared" si="7"/>
        <v>126</v>
      </c>
      <c r="L90" s="3">
        <f t="shared" si="7"/>
        <v>130</v>
      </c>
      <c r="M90" s="3">
        <f t="shared" si="7"/>
        <v>136</v>
      </c>
      <c r="N90" s="9">
        <f>SUM(B90:M90)/12</f>
        <v>114.41666666666667</v>
      </c>
    </row>
    <row r="91" spans="1:15" s="1" customFormat="1" x14ac:dyDescent="0.25">
      <c r="A91" s="13" t="s">
        <v>19</v>
      </c>
      <c r="B91" s="14">
        <v>1</v>
      </c>
      <c r="C91" s="15">
        <v>4</v>
      </c>
      <c r="D91" s="15">
        <v>2</v>
      </c>
      <c r="E91" s="15">
        <v>4</v>
      </c>
      <c r="F91" s="15">
        <v>7</v>
      </c>
      <c r="G91" s="15">
        <v>3</v>
      </c>
      <c r="H91" s="15">
        <v>3</v>
      </c>
      <c r="I91" s="15">
        <v>4</v>
      </c>
      <c r="J91" s="15">
        <v>1</v>
      </c>
      <c r="K91" s="15">
        <v>4</v>
      </c>
      <c r="L91" s="15">
        <v>4</v>
      </c>
      <c r="M91" s="15">
        <v>6</v>
      </c>
      <c r="N91" s="16">
        <f>SUM(B91:M91)</f>
        <v>43</v>
      </c>
      <c r="O91" s="15"/>
    </row>
    <row r="92" spans="1:15" x14ac:dyDescent="0.25">
      <c r="B92" s="43"/>
      <c r="F92" s="84" t="s">
        <v>272</v>
      </c>
    </row>
    <row r="94" spans="1:15" x14ac:dyDescent="0.25">
      <c r="A94" s="221" t="s">
        <v>262</v>
      </c>
      <c r="B94" s="221"/>
      <c r="C94" s="221"/>
      <c r="D94" s="221"/>
    </row>
    <row r="95" spans="1:15" s="1" customFormat="1" x14ac:dyDescent="0.25">
      <c r="A95" s="2" t="s">
        <v>271</v>
      </c>
      <c r="B95" s="3" t="s">
        <v>2</v>
      </c>
      <c r="C95" s="3" t="s">
        <v>3</v>
      </c>
      <c r="D95" s="3" t="s">
        <v>4</v>
      </c>
      <c r="E95" s="3" t="s">
        <v>5</v>
      </c>
      <c r="F95" s="3" t="s">
        <v>6</v>
      </c>
      <c r="G95" s="3" t="s">
        <v>7</v>
      </c>
      <c r="H95" s="3" t="s">
        <v>8</v>
      </c>
      <c r="I95" s="3" t="s">
        <v>9</v>
      </c>
      <c r="J95" s="3" t="s">
        <v>10</v>
      </c>
      <c r="K95" s="3" t="s">
        <v>11</v>
      </c>
      <c r="L95" s="3" t="s">
        <v>12</v>
      </c>
      <c r="M95" s="3" t="s">
        <v>13</v>
      </c>
      <c r="N95" s="4" t="s">
        <v>14</v>
      </c>
    </row>
    <row r="96" spans="1:15" s="1" customForma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5" s="1" customFormat="1" x14ac:dyDescent="0.25">
      <c r="A97" s="4" t="s">
        <v>15</v>
      </c>
      <c r="B97" s="5">
        <f>136-37+2</f>
        <v>101</v>
      </c>
      <c r="C97" s="3">
        <v>101</v>
      </c>
      <c r="D97" s="3">
        <v>102</v>
      </c>
      <c r="E97" s="3">
        <v>104</v>
      </c>
      <c r="F97" s="3">
        <v>107</v>
      </c>
      <c r="G97" s="6">
        <v>112</v>
      </c>
      <c r="H97" s="3">
        <v>113</v>
      </c>
      <c r="I97" s="3">
        <v>116</v>
      </c>
      <c r="J97" s="3">
        <v>119</v>
      </c>
      <c r="K97" s="3">
        <v>122</v>
      </c>
      <c r="L97" s="3">
        <v>124</v>
      </c>
      <c r="M97" s="3">
        <v>125</v>
      </c>
      <c r="N97" s="7">
        <f>SUM(B97:M97)/12</f>
        <v>112.16666666666667</v>
      </c>
    </row>
    <row r="98" spans="1:15" s="1" customFormat="1" x14ac:dyDescent="0.25">
      <c r="A98" s="4" t="s">
        <v>16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9">
        <f>SUM(B98:M98)/12</f>
        <v>0</v>
      </c>
    </row>
    <row r="99" spans="1:15" s="1" customFormat="1" x14ac:dyDescent="0.25">
      <c r="A99" s="4" t="s">
        <v>17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9">
        <f>SUM(B99:M99)/12</f>
        <v>0</v>
      </c>
    </row>
    <row r="100" spans="1:15" s="1" customFormat="1" x14ac:dyDescent="0.25">
      <c r="A100" s="4"/>
      <c r="B100" s="10"/>
      <c r="C100" s="10"/>
      <c r="D100" s="10"/>
      <c r="E100" s="10"/>
      <c r="F100" s="10"/>
      <c r="G100" s="10"/>
      <c r="H100" s="8"/>
      <c r="I100" s="10"/>
      <c r="J100" s="10"/>
      <c r="K100" s="10"/>
      <c r="L100" s="10"/>
      <c r="M100" s="10"/>
      <c r="N100" s="11"/>
      <c r="O100" s="12"/>
    </row>
    <row r="101" spans="1:15" s="1" customFormat="1" x14ac:dyDescent="0.25">
      <c r="A101" s="2" t="s">
        <v>269</v>
      </c>
      <c r="B101" s="3">
        <f t="shared" ref="B101:M101" si="8">B97+(B99*1.5)+(B98*0.8)</f>
        <v>101</v>
      </c>
      <c r="C101" s="3">
        <f t="shared" si="8"/>
        <v>101</v>
      </c>
      <c r="D101" s="3">
        <f t="shared" si="8"/>
        <v>102</v>
      </c>
      <c r="E101" s="3">
        <f t="shared" si="8"/>
        <v>104</v>
      </c>
      <c r="F101" s="3">
        <f t="shared" si="8"/>
        <v>107</v>
      </c>
      <c r="G101" s="3">
        <f t="shared" si="8"/>
        <v>112</v>
      </c>
      <c r="H101" s="3">
        <f t="shared" si="8"/>
        <v>113</v>
      </c>
      <c r="I101" s="3">
        <f t="shared" si="8"/>
        <v>116</v>
      </c>
      <c r="J101" s="3">
        <f t="shared" si="8"/>
        <v>119</v>
      </c>
      <c r="K101" s="3">
        <f t="shared" si="8"/>
        <v>122</v>
      </c>
      <c r="L101" s="3">
        <f t="shared" si="8"/>
        <v>124</v>
      </c>
      <c r="M101" s="3">
        <f t="shared" si="8"/>
        <v>125</v>
      </c>
      <c r="N101" s="9">
        <f>SUM(B101:M101)/12</f>
        <v>112.16666666666667</v>
      </c>
    </row>
    <row r="102" spans="1:15" s="1" customFormat="1" x14ac:dyDescent="0.25">
      <c r="A102" s="13" t="s">
        <v>19</v>
      </c>
      <c r="B102" s="14">
        <v>2</v>
      </c>
      <c r="C102" s="15">
        <v>0</v>
      </c>
      <c r="D102" s="15">
        <v>1</v>
      </c>
      <c r="E102" s="15">
        <v>2</v>
      </c>
      <c r="F102" s="15">
        <v>3</v>
      </c>
      <c r="G102" s="15">
        <v>5</v>
      </c>
      <c r="H102" s="15">
        <v>1</v>
      </c>
      <c r="I102" s="15">
        <v>3</v>
      </c>
      <c r="J102" s="15">
        <v>3</v>
      </c>
      <c r="K102" s="15">
        <v>3</v>
      </c>
      <c r="L102" s="15">
        <v>2</v>
      </c>
      <c r="M102" s="15">
        <v>1</v>
      </c>
      <c r="N102" s="16">
        <f>SUM(B102:M102)</f>
        <v>26</v>
      </c>
      <c r="O102" s="15"/>
    </row>
    <row r="103" spans="1:15" x14ac:dyDescent="0.25">
      <c r="A103" s="172"/>
      <c r="B103" s="43" t="s">
        <v>273</v>
      </c>
    </row>
    <row r="104" spans="1:15" x14ac:dyDescent="0.25">
      <c r="A104" s="189" t="s">
        <v>263</v>
      </c>
      <c r="B104" s="189"/>
      <c r="C104" s="189"/>
      <c r="D104" s="189"/>
    </row>
    <row r="105" spans="1:15" s="1" customFormat="1" x14ac:dyDescent="0.25">
      <c r="A105" s="2" t="s">
        <v>271</v>
      </c>
      <c r="B105" s="3" t="s">
        <v>2</v>
      </c>
      <c r="C105" s="3" t="s">
        <v>3</v>
      </c>
      <c r="D105" s="3" t="s">
        <v>4</v>
      </c>
      <c r="E105" s="3" t="s">
        <v>5</v>
      </c>
      <c r="F105" s="3" t="s">
        <v>6</v>
      </c>
      <c r="G105" s="3" t="s">
        <v>7</v>
      </c>
      <c r="H105" s="3" t="s">
        <v>8</v>
      </c>
      <c r="I105" s="3" t="s">
        <v>9</v>
      </c>
      <c r="J105" s="3" t="s">
        <v>10</v>
      </c>
      <c r="K105" s="3" t="s">
        <v>11</v>
      </c>
      <c r="L105" s="3" t="s">
        <v>12</v>
      </c>
      <c r="M105" s="3" t="s">
        <v>13</v>
      </c>
      <c r="N105" s="4" t="s">
        <v>14</v>
      </c>
    </row>
    <row r="106" spans="1:15" s="1" customForma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5" s="1" customFormat="1" x14ac:dyDescent="0.25">
      <c r="A107" s="4" t="s">
        <v>15</v>
      </c>
      <c r="B107" s="5">
        <f>125-39+1</f>
        <v>87</v>
      </c>
      <c r="C107" s="3">
        <v>90</v>
      </c>
      <c r="D107" s="3">
        <v>94</v>
      </c>
      <c r="E107" s="3">
        <v>96</v>
      </c>
      <c r="F107" s="3">
        <v>98</v>
      </c>
      <c r="G107" s="6">
        <v>98</v>
      </c>
      <c r="H107" s="3">
        <v>100</v>
      </c>
      <c r="I107" s="3">
        <v>103</v>
      </c>
      <c r="J107" s="3">
        <v>104</v>
      </c>
      <c r="K107" s="3">
        <v>104</v>
      </c>
      <c r="L107" s="3">
        <v>104</v>
      </c>
      <c r="M107" s="3">
        <v>104</v>
      </c>
      <c r="N107" s="7">
        <f>SUM(B107:M107)/12</f>
        <v>98.5</v>
      </c>
    </row>
    <row r="108" spans="1:15" s="1" customFormat="1" x14ac:dyDescent="0.25">
      <c r="A108" s="4" t="s">
        <v>16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9">
        <f>SUM(B108:M108)/12</f>
        <v>0</v>
      </c>
    </row>
    <row r="109" spans="1:15" s="1" customFormat="1" x14ac:dyDescent="0.25">
      <c r="A109" s="4" t="s">
        <v>17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9">
        <f>SUM(B109:M109)/12</f>
        <v>0</v>
      </c>
    </row>
    <row r="110" spans="1:15" s="1" customFormat="1" x14ac:dyDescent="0.25">
      <c r="A110" s="4"/>
      <c r="B110" s="10"/>
      <c r="C110" s="10"/>
      <c r="D110" s="10"/>
      <c r="E110" s="10"/>
      <c r="F110" s="10"/>
      <c r="G110" s="10"/>
      <c r="H110" s="8"/>
      <c r="I110" s="10"/>
      <c r="J110" s="10"/>
      <c r="K110" s="10"/>
      <c r="L110" s="10"/>
      <c r="M110" s="10"/>
      <c r="N110" s="11"/>
      <c r="O110" s="12"/>
    </row>
    <row r="111" spans="1:15" s="1" customFormat="1" x14ac:dyDescent="0.25">
      <c r="A111" s="2" t="s">
        <v>270</v>
      </c>
      <c r="B111" s="3">
        <f t="shared" ref="B111:M111" si="9">B107+(B109*1.5)+(B108*0.8)</f>
        <v>87</v>
      </c>
      <c r="C111" s="3">
        <f t="shared" si="9"/>
        <v>90</v>
      </c>
      <c r="D111" s="3">
        <f t="shared" si="9"/>
        <v>94</v>
      </c>
      <c r="E111" s="3">
        <f t="shared" si="9"/>
        <v>96</v>
      </c>
      <c r="F111" s="3">
        <f t="shared" si="9"/>
        <v>98</v>
      </c>
      <c r="G111" s="3">
        <f t="shared" si="9"/>
        <v>98</v>
      </c>
      <c r="H111" s="3">
        <f t="shared" si="9"/>
        <v>100</v>
      </c>
      <c r="I111" s="3">
        <f t="shared" si="9"/>
        <v>103</v>
      </c>
      <c r="J111" s="3">
        <f t="shared" si="9"/>
        <v>104</v>
      </c>
      <c r="K111" s="3">
        <f t="shared" si="9"/>
        <v>104</v>
      </c>
      <c r="L111" s="3">
        <f t="shared" si="9"/>
        <v>104</v>
      </c>
      <c r="M111" s="3">
        <f t="shared" si="9"/>
        <v>104</v>
      </c>
      <c r="N111" s="9">
        <f>SUM(B111:M111)/12</f>
        <v>98.5</v>
      </c>
    </row>
    <row r="112" spans="1:15" s="1" customFormat="1" x14ac:dyDescent="0.25">
      <c r="A112" s="13" t="s">
        <v>19</v>
      </c>
      <c r="B112" s="14">
        <v>1</v>
      </c>
      <c r="C112" s="15">
        <v>3</v>
      </c>
      <c r="D112" s="15">
        <v>4</v>
      </c>
      <c r="E112" s="15">
        <v>2</v>
      </c>
      <c r="F112" s="15">
        <v>2</v>
      </c>
      <c r="G112" s="15">
        <v>0</v>
      </c>
      <c r="H112" s="15">
        <v>2</v>
      </c>
      <c r="I112" s="15">
        <v>3</v>
      </c>
      <c r="J112" s="15">
        <v>1</v>
      </c>
      <c r="K112" s="15">
        <v>0</v>
      </c>
      <c r="L112" s="15"/>
      <c r="M112" s="15"/>
      <c r="N112" s="16">
        <f>SUM(B112:M112)</f>
        <v>18</v>
      </c>
      <c r="O112" s="15"/>
    </row>
    <row r="113" spans="1:14" x14ac:dyDescent="0.25">
      <c r="A113" s="172"/>
      <c r="B113" s="43" t="s">
        <v>274</v>
      </c>
      <c r="L113" s="240" t="s">
        <v>267</v>
      </c>
      <c r="M113" s="85"/>
      <c r="N113" s="85"/>
    </row>
    <row r="114" spans="1:14" ht="15.75" thickBot="1" x14ac:dyDescent="0.3">
      <c r="A114" s="241"/>
      <c r="B114" s="242"/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1"/>
    </row>
    <row r="115" spans="1:14" x14ac:dyDescent="0.25">
      <c r="A115" s="308"/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08"/>
    </row>
  </sheetData>
  <pageMargins left="0" right="0" top="0.59055118110236227" bottom="0.59055118110236227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workbookViewId="0">
      <selection activeCell="G3" sqref="G3"/>
    </sheetView>
  </sheetViews>
  <sheetFormatPr defaultRowHeight="15" x14ac:dyDescent="0.25"/>
  <sheetData>
    <row r="1" spans="1:15" x14ac:dyDescent="0.25">
      <c r="A1" s="172"/>
      <c r="B1" s="243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5" ht="21" x14ac:dyDescent="0.35">
      <c r="A2" s="244" t="s">
        <v>268</v>
      </c>
      <c r="B2" s="243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5" ht="21" x14ac:dyDescent="0.35">
      <c r="A3" s="244"/>
      <c r="B3" s="243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5" x14ac:dyDescent="0.25">
      <c r="A4" s="229" t="s">
        <v>435</v>
      </c>
      <c r="B4" s="229"/>
      <c r="C4" s="229"/>
      <c r="D4" s="229"/>
    </row>
    <row r="5" spans="1:15" s="1" customFormat="1" x14ac:dyDescent="0.25">
      <c r="A5" s="2" t="s">
        <v>42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4" t="s">
        <v>14</v>
      </c>
    </row>
    <row r="6" spans="1:15" s="1" customForma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" customFormat="1" x14ac:dyDescent="0.25">
      <c r="A7" s="4" t="s">
        <v>15</v>
      </c>
      <c r="B7" s="5">
        <f>41-11+1</f>
        <v>31</v>
      </c>
      <c r="C7" s="3">
        <v>31</v>
      </c>
      <c r="D7" s="3">
        <v>31</v>
      </c>
      <c r="E7" s="3">
        <v>31</v>
      </c>
      <c r="F7" s="3">
        <v>31</v>
      </c>
      <c r="G7" s="6">
        <v>33</v>
      </c>
      <c r="H7" s="3">
        <v>33</v>
      </c>
      <c r="I7" s="3">
        <v>33</v>
      </c>
      <c r="J7" s="3">
        <f>33-0.75</f>
        <v>32.25</v>
      </c>
      <c r="K7" s="3">
        <v>33</v>
      </c>
      <c r="L7" s="3">
        <v>33</v>
      </c>
      <c r="M7" s="3">
        <v>33</v>
      </c>
      <c r="N7" s="7">
        <f>SUM(B7:M7)/12</f>
        <v>32.104166666666664</v>
      </c>
    </row>
    <row r="8" spans="1:15" s="1" customFormat="1" x14ac:dyDescent="0.25">
      <c r="A8" s="4" t="s">
        <v>16</v>
      </c>
      <c r="B8" s="8"/>
      <c r="C8" s="8"/>
      <c r="D8" s="8"/>
      <c r="E8" s="8"/>
      <c r="F8" s="8"/>
      <c r="G8" s="8"/>
      <c r="H8" s="8"/>
      <c r="I8" s="8"/>
      <c r="J8" s="8">
        <v>0.75</v>
      </c>
      <c r="K8" s="8"/>
      <c r="L8" s="8"/>
      <c r="M8" s="8"/>
      <c r="N8" s="9">
        <f>SUM(B8:M8)/12</f>
        <v>6.25E-2</v>
      </c>
    </row>
    <row r="9" spans="1:15" s="1" customFormat="1" x14ac:dyDescent="0.25">
      <c r="A9" s="4" t="s">
        <v>17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9">
        <f>SUM(B9:M9)/12</f>
        <v>0</v>
      </c>
    </row>
    <row r="10" spans="1:15" s="1" customFormat="1" x14ac:dyDescent="0.25">
      <c r="A10" s="4"/>
      <c r="B10" s="10"/>
      <c r="C10" s="10"/>
      <c r="D10" s="10"/>
      <c r="E10" s="10"/>
      <c r="F10" s="10"/>
      <c r="G10" s="10"/>
      <c r="H10" s="8"/>
      <c r="I10" s="10"/>
      <c r="J10" s="10"/>
      <c r="K10" s="10"/>
      <c r="L10" s="10"/>
      <c r="M10" s="10"/>
      <c r="N10" s="11"/>
      <c r="O10" s="12"/>
    </row>
    <row r="11" spans="1:15" s="1" customFormat="1" x14ac:dyDescent="0.25">
      <c r="A11" s="2" t="s">
        <v>51</v>
      </c>
      <c r="B11" s="3">
        <f t="shared" ref="B11:M11" si="0">B7+(B9*1.5)+(B8*0.8)</f>
        <v>31</v>
      </c>
      <c r="C11" s="3">
        <f t="shared" si="0"/>
        <v>31</v>
      </c>
      <c r="D11" s="3">
        <f t="shared" si="0"/>
        <v>31</v>
      </c>
      <c r="E11" s="3">
        <f t="shared" si="0"/>
        <v>31</v>
      </c>
      <c r="F11" s="3">
        <f t="shared" si="0"/>
        <v>31</v>
      </c>
      <c r="G11" s="3">
        <f t="shared" si="0"/>
        <v>33</v>
      </c>
      <c r="H11" s="3">
        <f t="shared" si="0"/>
        <v>33</v>
      </c>
      <c r="I11" s="3">
        <f t="shared" si="0"/>
        <v>33</v>
      </c>
      <c r="J11" s="3">
        <f t="shared" si="0"/>
        <v>32.85</v>
      </c>
      <c r="K11" s="3">
        <f t="shared" si="0"/>
        <v>33</v>
      </c>
      <c r="L11" s="3">
        <f t="shared" si="0"/>
        <v>33</v>
      </c>
      <c r="M11" s="3">
        <f t="shared" si="0"/>
        <v>33</v>
      </c>
      <c r="N11" s="9">
        <f>SUM(B11:M11)/12</f>
        <v>32.154166666666669</v>
      </c>
    </row>
    <row r="12" spans="1:15" s="1" customFormat="1" x14ac:dyDescent="0.25">
      <c r="A12" s="270" t="s">
        <v>19</v>
      </c>
      <c r="B12" s="271">
        <v>1</v>
      </c>
      <c r="C12" s="272"/>
      <c r="D12" s="272"/>
      <c r="E12" s="272"/>
      <c r="F12" s="272"/>
      <c r="G12" s="272">
        <v>2</v>
      </c>
      <c r="H12" s="272"/>
      <c r="I12" s="272"/>
      <c r="J12" s="272">
        <v>1</v>
      </c>
      <c r="K12" s="272"/>
      <c r="L12" s="272"/>
      <c r="M12" s="272"/>
      <c r="N12" s="273">
        <f>SUM(B12:M12)</f>
        <v>4</v>
      </c>
      <c r="O12" s="15"/>
    </row>
    <row r="13" spans="1:15" x14ac:dyDescent="0.25">
      <c r="B13" s="43" t="s">
        <v>238</v>
      </c>
      <c r="J13">
        <v>-40512</v>
      </c>
    </row>
    <row r="14" spans="1:15" x14ac:dyDescent="0.25">
      <c r="J14" s="43" t="s">
        <v>438</v>
      </c>
    </row>
    <row r="15" spans="1:15" x14ac:dyDescent="0.25">
      <c r="A15" s="221" t="s">
        <v>436</v>
      </c>
      <c r="B15" s="221"/>
      <c r="C15" s="221"/>
      <c r="D15" s="221"/>
    </row>
    <row r="16" spans="1:15" s="1" customFormat="1" x14ac:dyDescent="0.25">
      <c r="A16" s="2" t="s">
        <v>42</v>
      </c>
      <c r="B16" s="3" t="s">
        <v>2</v>
      </c>
      <c r="C16" s="3" t="s">
        <v>3</v>
      </c>
      <c r="D16" s="3" t="s">
        <v>4</v>
      </c>
      <c r="E16" s="3" t="s">
        <v>5</v>
      </c>
      <c r="F16" s="3" t="s">
        <v>6</v>
      </c>
      <c r="G16" s="3" t="s">
        <v>7</v>
      </c>
      <c r="H16" s="3" t="s">
        <v>8</v>
      </c>
      <c r="I16" s="3" t="s">
        <v>9</v>
      </c>
      <c r="J16" s="3" t="s">
        <v>10</v>
      </c>
      <c r="K16" s="3" t="s">
        <v>11</v>
      </c>
      <c r="L16" s="3" t="s">
        <v>12</v>
      </c>
      <c r="M16" s="3" t="s">
        <v>13</v>
      </c>
      <c r="N16" s="4" t="s">
        <v>14</v>
      </c>
    </row>
    <row r="17" spans="1:15" s="1" customForma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5" s="1" customFormat="1" x14ac:dyDescent="0.25">
      <c r="A18" s="4" t="s">
        <v>15</v>
      </c>
      <c r="B18" s="5">
        <f>33-12</f>
        <v>21</v>
      </c>
      <c r="C18" s="3">
        <v>23</v>
      </c>
      <c r="D18" s="3">
        <v>23</v>
      </c>
      <c r="E18" s="3">
        <v>23</v>
      </c>
      <c r="F18" s="3">
        <v>23</v>
      </c>
      <c r="G18" s="6">
        <v>24</v>
      </c>
      <c r="H18" s="3">
        <v>25</v>
      </c>
      <c r="I18" s="3">
        <v>25</v>
      </c>
      <c r="J18" s="3">
        <v>25</v>
      </c>
      <c r="K18" s="3">
        <v>25</v>
      </c>
      <c r="L18" s="3">
        <v>25</v>
      </c>
      <c r="M18" s="3">
        <v>25</v>
      </c>
      <c r="N18" s="7">
        <f>SUM(B18:M18)/12</f>
        <v>23.916666666666668</v>
      </c>
    </row>
    <row r="19" spans="1:15" s="1" customFormat="1" x14ac:dyDescent="0.25">
      <c r="A19" s="4" t="s">
        <v>16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>
        <f>SUM(B19:M19)/12</f>
        <v>0</v>
      </c>
    </row>
    <row r="20" spans="1:15" s="1" customFormat="1" x14ac:dyDescent="0.25">
      <c r="A20" s="4" t="s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9">
        <f>SUM(B20:M20)/12</f>
        <v>0</v>
      </c>
    </row>
    <row r="21" spans="1:15" s="1" customFormat="1" x14ac:dyDescent="0.25">
      <c r="A21" s="4"/>
      <c r="B21" s="10"/>
      <c r="C21" s="10"/>
      <c r="D21" s="10"/>
      <c r="E21" s="10"/>
      <c r="F21" s="10"/>
      <c r="G21" s="10"/>
      <c r="H21" s="8"/>
      <c r="I21" s="10"/>
      <c r="J21" s="10"/>
      <c r="K21" s="10"/>
      <c r="L21" s="10"/>
      <c r="M21" s="10"/>
      <c r="N21" s="11"/>
      <c r="O21" s="12"/>
    </row>
    <row r="22" spans="1:15" s="1" customFormat="1" x14ac:dyDescent="0.25">
      <c r="A22" s="2" t="s">
        <v>269</v>
      </c>
      <c r="B22" s="3">
        <f t="shared" ref="B22:M22" si="1">B18+(B20*1.5)+(B19*0.8)</f>
        <v>21</v>
      </c>
      <c r="C22" s="3">
        <f t="shared" si="1"/>
        <v>23</v>
      </c>
      <c r="D22" s="3">
        <f t="shared" si="1"/>
        <v>23</v>
      </c>
      <c r="E22" s="3">
        <f t="shared" si="1"/>
        <v>23</v>
      </c>
      <c r="F22" s="3">
        <f t="shared" si="1"/>
        <v>23</v>
      </c>
      <c r="G22" s="3">
        <f t="shared" si="1"/>
        <v>24</v>
      </c>
      <c r="H22" s="3">
        <f t="shared" si="1"/>
        <v>25</v>
      </c>
      <c r="I22" s="3">
        <f t="shared" si="1"/>
        <v>25</v>
      </c>
      <c r="J22" s="3">
        <f t="shared" si="1"/>
        <v>25</v>
      </c>
      <c r="K22" s="3">
        <f t="shared" si="1"/>
        <v>25</v>
      </c>
      <c r="L22" s="3">
        <f t="shared" si="1"/>
        <v>25</v>
      </c>
      <c r="M22" s="3">
        <f t="shared" si="1"/>
        <v>25</v>
      </c>
      <c r="N22" s="9">
        <f>SUM(B22:M22)/12</f>
        <v>23.916666666666668</v>
      </c>
    </row>
    <row r="23" spans="1:15" s="1" customFormat="1" x14ac:dyDescent="0.25">
      <c r="A23" s="270" t="s">
        <v>19</v>
      </c>
      <c r="B23" s="271"/>
      <c r="C23" s="272">
        <v>2</v>
      </c>
      <c r="D23" s="272"/>
      <c r="E23" s="272"/>
      <c r="F23" s="272">
        <v>0</v>
      </c>
      <c r="G23" s="272">
        <v>1</v>
      </c>
      <c r="H23" s="272">
        <v>1</v>
      </c>
      <c r="I23" s="272"/>
      <c r="J23" s="272"/>
      <c r="K23" s="272"/>
      <c r="L23" s="272"/>
      <c r="M23" s="272"/>
      <c r="N23" s="273">
        <f>SUM(B23:M23)</f>
        <v>4</v>
      </c>
      <c r="O23" s="15"/>
    </row>
    <row r="24" spans="1:15" x14ac:dyDescent="0.25">
      <c r="B24" s="43" t="s">
        <v>439</v>
      </c>
    </row>
    <row r="26" spans="1:15" x14ac:dyDescent="0.25">
      <c r="A26" s="189" t="s">
        <v>437</v>
      </c>
      <c r="B26" s="189"/>
      <c r="C26" s="189"/>
      <c r="D26" s="189"/>
    </row>
    <row r="27" spans="1:15" s="1" customFormat="1" x14ac:dyDescent="0.25">
      <c r="A27" s="2" t="s">
        <v>42</v>
      </c>
      <c r="B27" s="3" t="s">
        <v>2</v>
      </c>
      <c r="C27" s="3" t="s">
        <v>3</v>
      </c>
      <c r="D27" s="3" t="s">
        <v>4</v>
      </c>
      <c r="E27" s="3" t="s">
        <v>5</v>
      </c>
      <c r="F27" s="3" t="s">
        <v>6</v>
      </c>
      <c r="G27" s="3" t="s">
        <v>7</v>
      </c>
      <c r="H27" s="3" t="s">
        <v>8</v>
      </c>
      <c r="I27" s="3" t="s">
        <v>9</v>
      </c>
      <c r="J27" s="3" t="s">
        <v>10</v>
      </c>
      <c r="K27" s="3" t="s">
        <v>11</v>
      </c>
      <c r="L27" s="3" t="s">
        <v>12</v>
      </c>
      <c r="M27" s="3" t="s">
        <v>13</v>
      </c>
      <c r="N27" s="4" t="s">
        <v>14</v>
      </c>
    </row>
    <row r="28" spans="1:15" s="1" customForma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5" s="1" customFormat="1" x14ac:dyDescent="0.25">
      <c r="A29" s="4" t="s">
        <v>15</v>
      </c>
      <c r="B29" s="5">
        <f>25-12+1</f>
        <v>14</v>
      </c>
      <c r="C29" s="3">
        <v>14</v>
      </c>
      <c r="D29" s="3">
        <v>15</v>
      </c>
      <c r="E29" s="3">
        <v>15</v>
      </c>
      <c r="F29" s="3">
        <v>16</v>
      </c>
      <c r="G29" s="6">
        <v>17</v>
      </c>
      <c r="H29" s="3">
        <v>17</v>
      </c>
      <c r="I29" s="3">
        <v>17</v>
      </c>
      <c r="J29" s="3">
        <v>17</v>
      </c>
      <c r="K29" s="3">
        <v>17</v>
      </c>
      <c r="L29" s="3">
        <v>17</v>
      </c>
      <c r="M29" s="3">
        <v>17</v>
      </c>
      <c r="N29" s="7">
        <f>SUM(B29:M29)/12</f>
        <v>16.083333333333332</v>
      </c>
    </row>
    <row r="30" spans="1:15" s="1" customFormat="1" x14ac:dyDescent="0.25">
      <c r="A30" s="4" t="s">
        <v>16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>
        <f>SUM(B30:M30)/12</f>
        <v>0</v>
      </c>
    </row>
    <row r="31" spans="1:15" s="1" customFormat="1" x14ac:dyDescent="0.25">
      <c r="A31" s="4" t="s">
        <v>17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9">
        <f>SUM(B31:M31)/12</f>
        <v>0</v>
      </c>
    </row>
    <row r="32" spans="1:15" s="1" customFormat="1" x14ac:dyDescent="0.25">
      <c r="A32" s="4"/>
      <c r="B32" s="10"/>
      <c r="C32" s="10"/>
      <c r="D32" s="10"/>
      <c r="E32" s="10"/>
      <c r="F32" s="10"/>
      <c r="G32" s="10"/>
      <c r="H32" s="8"/>
      <c r="I32" s="10"/>
      <c r="J32" s="10"/>
      <c r="K32" s="10"/>
      <c r="L32" s="10"/>
      <c r="M32" s="10"/>
      <c r="N32" s="11"/>
      <c r="O32" s="12"/>
    </row>
    <row r="33" spans="1:15" s="1" customFormat="1" x14ac:dyDescent="0.25">
      <c r="A33" s="2" t="s">
        <v>270</v>
      </c>
      <c r="B33" s="3">
        <f t="shared" ref="B33:M33" si="2">B29+(B31*1.5)+(B30*0.8)</f>
        <v>14</v>
      </c>
      <c r="C33" s="3">
        <f t="shared" si="2"/>
        <v>14</v>
      </c>
      <c r="D33" s="3">
        <f t="shared" si="2"/>
        <v>15</v>
      </c>
      <c r="E33" s="3">
        <f t="shared" si="2"/>
        <v>15</v>
      </c>
      <c r="F33" s="3">
        <f t="shared" si="2"/>
        <v>16</v>
      </c>
      <c r="G33" s="3">
        <f t="shared" si="2"/>
        <v>17</v>
      </c>
      <c r="H33" s="3">
        <f t="shared" si="2"/>
        <v>17</v>
      </c>
      <c r="I33" s="3">
        <f t="shared" si="2"/>
        <v>17</v>
      </c>
      <c r="J33" s="3">
        <f t="shared" si="2"/>
        <v>17</v>
      </c>
      <c r="K33" s="3">
        <f t="shared" si="2"/>
        <v>17</v>
      </c>
      <c r="L33" s="3">
        <f t="shared" si="2"/>
        <v>17</v>
      </c>
      <c r="M33" s="3">
        <f t="shared" si="2"/>
        <v>17</v>
      </c>
      <c r="N33" s="9">
        <f>SUM(B33:M33)/12</f>
        <v>16.083333333333332</v>
      </c>
    </row>
    <row r="34" spans="1:15" s="1" customFormat="1" x14ac:dyDescent="0.25">
      <c r="A34" s="270" t="s">
        <v>19</v>
      </c>
      <c r="B34" s="271">
        <v>1</v>
      </c>
      <c r="C34" s="272"/>
      <c r="D34" s="272">
        <v>1</v>
      </c>
      <c r="E34" s="272"/>
      <c r="F34" s="272">
        <v>1</v>
      </c>
      <c r="G34" s="272">
        <v>1</v>
      </c>
      <c r="H34" s="272"/>
      <c r="I34" s="272"/>
      <c r="J34" s="272"/>
      <c r="K34" s="272"/>
      <c r="L34" s="272"/>
      <c r="M34" s="272"/>
      <c r="N34" s="273">
        <f>SUM(B34:M34)</f>
        <v>4</v>
      </c>
      <c r="O34" s="15"/>
    </row>
    <row r="35" spans="1:15" x14ac:dyDescent="0.25">
      <c r="B35" s="43" t="s">
        <v>368</v>
      </c>
      <c r="L35" s="269"/>
      <c r="M35" s="23"/>
      <c r="N35" s="23"/>
    </row>
    <row r="36" spans="1:15" x14ac:dyDescent="0.25">
      <c r="B36" s="43"/>
      <c r="L36" s="269"/>
      <c r="M36" s="23"/>
      <c r="N36" s="23"/>
    </row>
    <row r="37" spans="1:15" x14ac:dyDescent="0.25">
      <c r="A37" s="228" t="s">
        <v>440</v>
      </c>
      <c r="B37" s="228"/>
      <c r="C37" s="228"/>
      <c r="D37" s="228"/>
    </row>
    <row r="38" spans="1:15" s="1" customFormat="1" x14ac:dyDescent="0.25">
      <c r="A38" s="2" t="s">
        <v>42</v>
      </c>
      <c r="B38" s="3" t="s">
        <v>2</v>
      </c>
      <c r="C38" s="3" t="s">
        <v>3</v>
      </c>
      <c r="D38" s="3" t="s">
        <v>4</v>
      </c>
      <c r="E38" s="3" t="s">
        <v>5</v>
      </c>
      <c r="F38" s="3" t="s">
        <v>6</v>
      </c>
      <c r="G38" s="3" t="s">
        <v>7</v>
      </c>
      <c r="H38" s="3" t="s">
        <v>8</v>
      </c>
      <c r="I38" s="3" t="s">
        <v>9</v>
      </c>
      <c r="J38" s="3" t="s">
        <v>10</v>
      </c>
      <c r="K38" s="3" t="s">
        <v>11</v>
      </c>
      <c r="L38" s="3" t="s">
        <v>12</v>
      </c>
      <c r="M38" s="3" t="s">
        <v>13</v>
      </c>
      <c r="N38" s="4" t="s">
        <v>14</v>
      </c>
    </row>
    <row r="39" spans="1:15" s="1" customForma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5" s="1" customFormat="1" x14ac:dyDescent="0.25">
      <c r="A40" s="4" t="s">
        <v>15</v>
      </c>
      <c r="B40" s="5">
        <f>17-6+1</f>
        <v>12</v>
      </c>
      <c r="C40" s="3">
        <v>12</v>
      </c>
      <c r="D40" s="3">
        <v>13</v>
      </c>
      <c r="E40" s="3">
        <v>13</v>
      </c>
      <c r="F40" s="3">
        <v>14</v>
      </c>
      <c r="G40" s="6">
        <v>14</v>
      </c>
      <c r="H40" s="3">
        <v>14</v>
      </c>
      <c r="I40" s="3">
        <v>14</v>
      </c>
      <c r="J40" s="3">
        <v>14</v>
      </c>
      <c r="K40" s="3">
        <v>14</v>
      </c>
      <c r="L40" s="3">
        <v>14</v>
      </c>
      <c r="M40" s="3">
        <v>14</v>
      </c>
      <c r="N40" s="7">
        <f>SUM(B40:M40)/12</f>
        <v>13.5</v>
      </c>
    </row>
    <row r="41" spans="1:15" s="1" customFormat="1" x14ac:dyDescent="0.25">
      <c r="A41" s="4" t="s">
        <v>16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>
        <f>SUM(B41:M41)/12</f>
        <v>0</v>
      </c>
    </row>
    <row r="42" spans="1:15" s="1" customFormat="1" x14ac:dyDescent="0.25">
      <c r="A42" s="4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">
        <f>SUM(B42:M42)/12</f>
        <v>0</v>
      </c>
    </row>
    <row r="43" spans="1:15" s="1" customFormat="1" x14ac:dyDescent="0.25">
      <c r="A43" s="4"/>
      <c r="B43" s="10"/>
      <c r="C43" s="10"/>
      <c r="D43" s="10"/>
      <c r="E43" s="10"/>
      <c r="F43" s="10"/>
      <c r="G43" s="10"/>
      <c r="H43" s="8"/>
      <c r="I43" s="10"/>
      <c r="J43" s="10"/>
      <c r="K43" s="10"/>
      <c r="L43" s="10"/>
      <c r="M43" s="10"/>
      <c r="N43" s="11"/>
      <c r="O43" s="12"/>
    </row>
    <row r="44" spans="1:15" s="1" customFormat="1" x14ac:dyDescent="0.25">
      <c r="A44" s="2" t="s">
        <v>270</v>
      </c>
      <c r="B44" s="3">
        <f t="shared" ref="B44:M44" si="3">B40+(B42*1.5)+(B41*0.8)</f>
        <v>12</v>
      </c>
      <c r="C44" s="3">
        <f t="shared" si="3"/>
        <v>12</v>
      </c>
      <c r="D44" s="3">
        <f t="shared" si="3"/>
        <v>13</v>
      </c>
      <c r="E44" s="3">
        <f t="shared" si="3"/>
        <v>13</v>
      </c>
      <c r="F44" s="3">
        <f t="shared" si="3"/>
        <v>14</v>
      </c>
      <c r="G44" s="3">
        <f t="shared" si="3"/>
        <v>14</v>
      </c>
      <c r="H44" s="3">
        <f t="shared" si="3"/>
        <v>14</v>
      </c>
      <c r="I44" s="3">
        <f t="shared" si="3"/>
        <v>14</v>
      </c>
      <c r="J44" s="3">
        <f t="shared" si="3"/>
        <v>14</v>
      </c>
      <c r="K44" s="3">
        <f t="shared" si="3"/>
        <v>14</v>
      </c>
      <c r="L44" s="3">
        <f t="shared" si="3"/>
        <v>14</v>
      </c>
      <c r="M44" s="3">
        <f t="shared" si="3"/>
        <v>14</v>
      </c>
      <c r="N44" s="9">
        <f>SUM(B44:M44)/12</f>
        <v>13.5</v>
      </c>
    </row>
    <row r="45" spans="1:15" s="1" customFormat="1" x14ac:dyDescent="0.25">
      <c r="A45" s="270" t="s">
        <v>19</v>
      </c>
      <c r="B45" s="271">
        <v>1</v>
      </c>
      <c r="C45" s="272">
        <v>0</v>
      </c>
      <c r="D45" s="272">
        <v>1</v>
      </c>
      <c r="E45" s="272">
        <v>0</v>
      </c>
      <c r="F45" s="272">
        <v>1</v>
      </c>
      <c r="G45" s="315">
        <v>0</v>
      </c>
      <c r="H45" s="315">
        <v>0</v>
      </c>
      <c r="I45" s="315">
        <v>0</v>
      </c>
      <c r="J45" s="240" t="s">
        <v>371</v>
      </c>
      <c r="K45" s="85"/>
      <c r="L45" s="240"/>
      <c r="M45" s="85"/>
      <c r="N45" s="16">
        <f>SUM(B45:M45)</f>
        <v>3</v>
      </c>
      <c r="O45" s="15"/>
    </row>
    <row r="46" spans="1:15" x14ac:dyDescent="0.25">
      <c r="B46" s="43" t="s">
        <v>370</v>
      </c>
      <c r="N46" s="23"/>
    </row>
    <row r="48" spans="1:15" x14ac:dyDescent="0.25">
      <c r="B48" s="43"/>
      <c r="L48" s="269"/>
      <c r="M48" s="23"/>
      <c r="N48" s="23"/>
    </row>
    <row r="49" spans="1:15" ht="10.5" customHeight="1" x14ac:dyDescent="0.35">
      <c r="A49" s="312"/>
      <c r="B49" s="313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</row>
    <row r="51" spans="1:15" x14ac:dyDescent="0.25">
      <c r="A51" s="229" t="s">
        <v>365</v>
      </c>
      <c r="B51" s="229"/>
      <c r="C51" s="229"/>
      <c r="D51" s="229"/>
    </row>
    <row r="52" spans="1:15" s="1" customFormat="1" x14ac:dyDescent="0.25">
      <c r="A52" s="2" t="s">
        <v>42</v>
      </c>
      <c r="B52" s="3" t="s">
        <v>2</v>
      </c>
      <c r="C52" s="3" t="s">
        <v>3</v>
      </c>
      <c r="D52" s="3" t="s">
        <v>4</v>
      </c>
      <c r="E52" s="3" t="s">
        <v>5</v>
      </c>
      <c r="F52" s="3" t="s">
        <v>6</v>
      </c>
      <c r="G52" s="3" t="s">
        <v>7</v>
      </c>
      <c r="H52" s="3" t="s">
        <v>8</v>
      </c>
      <c r="I52" s="3" t="s">
        <v>9</v>
      </c>
      <c r="J52" s="3" t="s">
        <v>10</v>
      </c>
      <c r="K52" s="3" t="s">
        <v>11</v>
      </c>
      <c r="L52" s="3" t="s">
        <v>12</v>
      </c>
      <c r="M52" s="3" t="s">
        <v>13</v>
      </c>
      <c r="N52" s="4" t="s">
        <v>14</v>
      </c>
    </row>
    <row r="53" spans="1:15" s="1" customForma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5" s="1" customFormat="1" x14ac:dyDescent="0.25">
      <c r="A54" s="4" t="s">
        <v>15</v>
      </c>
      <c r="B54" s="5">
        <f>41-11+1</f>
        <v>31</v>
      </c>
      <c r="C54" s="3">
        <v>31</v>
      </c>
      <c r="D54" s="3">
        <v>31</v>
      </c>
      <c r="E54" s="3">
        <v>31</v>
      </c>
      <c r="F54" s="3">
        <v>31</v>
      </c>
      <c r="G54" s="6">
        <v>33</v>
      </c>
      <c r="H54" s="3">
        <v>33</v>
      </c>
      <c r="I54" s="3">
        <v>33</v>
      </c>
      <c r="J54" s="3">
        <v>33</v>
      </c>
      <c r="K54" s="3">
        <v>34</v>
      </c>
      <c r="L54" s="3">
        <v>34</v>
      </c>
      <c r="M54" s="3">
        <v>34</v>
      </c>
      <c r="N54" s="7">
        <f>SUM(B54:M54)/12</f>
        <v>32.416666666666664</v>
      </c>
    </row>
    <row r="55" spans="1:15" s="1" customFormat="1" x14ac:dyDescent="0.25">
      <c r="A55" s="4" t="s">
        <v>16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>
        <f>SUM(B55:M55)/12</f>
        <v>0</v>
      </c>
    </row>
    <row r="56" spans="1:15" s="1" customFormat="1" x14ac:dyDescent="0.25">
      <c r="A56" s="4" t="s">
        <v>17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9">
        <f>SUM(B56:M56)/12</f>
        <v>0</v>
      </c>
    </row>
    <row r="57" spans="1:15" s="1" customFormat="1" x14ac:dyDescent="0.25">
      <c r="A57" s="4"/>
      <c r="B57" s="10"/>
      <c r="C57" s="10"/>
      <c r="D57" s="10"/>
      <c r="E57" s="10"/>
      <c r="F57" s="10"/>
      <c r="G57" s="10"/>
      <c r="H57" s="8"/>
      <c r="I57" s="10"/>
      <c r="J57" s="10"/>
      <c r="K57" s="10"/>
      <c r="L57" s="10"/>
      <c r="M57" s="10"/>
      <c r="N57" s="11"/>
      <c r="O57" s="12"/>
    </row>
    <row r="58" spans="1:15" s="1" customFormat="1" x14ac:dyDescent="0.25">
      <c r="A58" s="2" t="s">
        <v>51</v>
      </c>
      <c r="B58" s="3">
        <f t="shared" ref="B58:M58" si="4">B54+(B56*1.5)+(B55*0.8)</f>
        <v>31</v>
      </c>
      <c r="C58" s="3">
        <f t="shared" si="4"/>
        <v>31</v>
      </c>
      <c r="D58" s="3">
        <f t="shared" si="4"/>
        <v>31</v>
      </c>
      <c r="E58" s="3">
        <f t="shared" si="4"/>
        <v>31</v>
      </c>
      <c r="F58" s="3">
        <f t="shared" si="4"/>
        <v>31</v>
      </c>
      <c r="G58" s="3">
        <f t="shared" si="4"/>
        <v>33</v>
      </c>
      <c r="H58" s="3">
        <f t="shared" si="4"/>
        <v>33</v>
      </c>
      <c r="I58" s="3">
        <f t="shared" si="4"/>
        <v>33</v>
      </c>
      <c r="J58" s="3">
        <f t="shared" si="4"/>
        <v>33</v>
      </c>
      <c r="K58" s="3">
        <f t="shared" si="4"/>
        <v>34</v>
      </c>
      <c r="L58" s="3">
        <f t="shared" si="4"/>
        <v>34</v>
      </c>
      <c r="M58" s="3">
        <f t="shared" si="4"/>
        <v>34</v>
      </c>
      <c r="N58" s="9">
        <f>SUM(B58:M58)/12</f>
        <v>32.416666666666664</v>
      </c>
    </row>
    <row r="59" spans="1:15" s="1" customFormat="1" x14ac:dyDescent="0.25">
      <c r="A59" s="270" t="s">
        <v>19</v>
      </c>
      <c r="B59" s="271">
        <v>1</v>
      </c>
      <c r="C59" s="272"/>
      <c r="D59" s="272"/>
      <c r="E59" s="272"/>
      <c r="F59" s="272"/>
      <c r="G59" s="272">
        <v>2</v>
      </c>
      <c r="H59" s="272"/>
      <c r="I59" s="272"/>
      <c r="J59" s="272"/>
      <c r="K59" s="272">
        <v>1</v>
      </c>
      <c r="L59" s="272"/>
      <c r="M59" s="272"/>
      <c r="N59" s="273">
        <f>SUM(B59:M59)</f>
        <v>4</v>
      </c>
      <c r="O59" s="15"/>
    </row>
    <row r="60" spans="1:15" x14ac:dyDescent="0.25">
      <c r="B60" s="43" t="s">
        <v>238</v>
      </c>
    </row>
    <row r="62" spans="1:15" x14ac:dyDescent="0.25">
      <c r="A62" s="221" t="s">
        <v>366</v>
      </c>
      <c r="B62" s="221"/>
      <c r="C62" s="221"/>
      <c r="D62" s="221"/>
    </row>
    <row r="63" spans="1:15" s="1" customFormat="1" x14ac:dyDescent="0.25">
      <c r="A63" s="2" t="s">
        <v>42</v>
      </c>
      <c r="B63" s="3" t="s">
        <v>2</v>
      </c>
      <c r="C63" s="3" t="s">
        <v>3</v>
      </c>
      <c r="D63" s="3" t="s">
        <v>4</v>
      </c>
      <c r="E63" s="3" t="s">
        <v>5</v>
      </c>
      <c r="F63" s="3" t="s">
        <v>6</v>
      </c>
      <c r="G63" s="3" t="s">
        <v>7</v>
      </c>
      <c r="H63" s="3" t="s">
        <v>8</v>
      </c>
      <c r="I63" s="3" t="s">
        <v>9</v>
      </c>
      <c r="J63" s="3" t="s">
        <v>10</v>
      </c>
      <c r="K63" s="3" t="s">
        <v>11</v>
      </c>
      <c r="L63" s="3" t="s">
        <v>12</v>
      </c>
      <c r="M63" s="3" t="s">
        <v>13</v>
      </c>
      <c r="N63" s="4" t="s">
        <v>14</v>
      </c>
    </row>
    <row r="64" spans="1:15" s="1" customForma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5" s="1" customFormat="1" x14ac:dyDescent="0.25">
      <c r="A65" s="4" t="s">
        <v>15</v>
      </c>
      <c r="B65" s="5">
        <f>34-13</f>
        <v>21</v>
      </c>
      <c r="C65" s="3">
        <v>22</v>
      </c>
      <c r="D65" s="3">
        <v>22</v>
      </c>
      <c r="E65" s="3">
        <v>22</v>
      </c>
      <c r="F65" s="3">
        <v>23</v>
      </c>
      <c r="G65" s="6">
        <v>24</v>
      </c>
      <c r="H65" s="3">
        <v>25</v>
      </c>
      <c r="I65" s="3">
        <v>25</v>
      </c>
      <c r="J65" s="3">
        <v>25</v>
      </c>
      <c r="K65" s="3">
        <v>25</v>
      </c>
      <c r="L65" s="3">
        <v>25</v>
      </c>
      <c r="M65" s="3">
        <v>25</v>
      </c>
      <c r="N65" s="7">
        <f>SUM(B65:M65)/12</f>
        <v>23.666666666666668</v>
      </c>
    </row>
    <row r="66" spans="1:15" s="1" customFormat="1" x14ac:dyDescent="0.25">
      <c r="A66" s="4" t="s">
        <v>16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>
        <f>SUM(B66:M66)/12</f>
        <v>0</v>
      </c>
    </row>
    <row r="67" spans="1:15" s="1" customFormat="1" x14ac:dyDescent="0.25">
      <c r="A67" s="4" t="s">
        <v>17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9">
        <f>SUM(B67:M67)/12</f>
        <v>0</v>
      </c>
    </row>
    <row r="68" spans="1:15" s="1" customFormat="1" x14ac:dyDescent="0.25">
      <c r="A68" s="4"/>
      <c r="B68" s="10"/>
      <c r="C68" s="10"/>
      <c r="D68" s="10"/>
      <c r="E68" s="10"/>
      <c r="F68" s="10"/>
      <c r="G68" s="10"/>
      <c r="H68" s="8"/>
      <c r="I68" s="10"/>
      <c r="J68" s="10"/>
      <c r="K68" s="10"/>
      <c r="L68" s="10"/>
      <c r="M68" s="10"/>
      <c r="N68" s="11"/>
      <c r="O68" s="12"/>
    </row>
    <row r="69" spans="1:15" s="1" customFormat="1" x14ac:dyDescent="0.25">
      <c r="A69" s="2" t="s">
        <v>269</v>
      </c>
      <c r="B69" s="3">
        <f t="shared" ref="B69:M69" si="5">B65+(B67*1.5)+(B66*0.8)</f>
        <v>21</v>
      </c>
      <c r="C69" s="3">
        <f t="shared" si="5"/>
        <v>22</v>
      </c>
      <c r="D69" s="3">
        <f t="shared" si="5"/>
        <v>22</v>
      </c>
      <c r="E69" s="3">
        <f t="shared" si="5"/>
        <v>22</v>
      </c>
      <c r="F69" s="3">
        <f t="shared" si="5"/>
        <v>23</v>
      </c>
      <c r="G69" s="3">
        <f t="shared" si="5"/>
        <v>24</v>
      </c>
      <c r="H69" s="3">
        <f t="shared" si="5"/>
        <v>25</v>
      </c>
      <c r="I69" s="3">
        <f t="shared" si="5"/>
        <v>25</v>
      </c>
      <c r="J69" s="3">
        <f t="shared" si="5"/>
        <v>25</v>
      </c>
      <c r="K69" s="3">
        <f t="shared" si="5"/>
        <v>25</v>
      </c>
      <c r="L69" s="3">
        <f t="shared" si="5"/>
        <v>25</v>
      </c>
      <c r="M69" s="3">
        <f t="shared" si="5"/>
        <v>25</v>
      </c>
      <c r="N69" s="9">
        <f>SUM(B69:M69)/12</f>
        <v>23.666666666666668</v>
      </c>
    </row>
    <row r="70" spans="1:15" s="1" customFormat="1" x14ac:dyDescent="0.25">
      <c r="A70" s="270" t="s">
        <v>19</v>
      </c>
      <c r="B70" s="271"/>
      <c r="C70" s="272">
        <v>1</v>
      </c>
      <c r="D70" s="272"/>
      <c r="E70" s="272"/>
      <c r="F70" s="272">
        <v>1</v>
      </c>
      <c r="G70" s="272">
        <v>1</v>
      </c>
      <c r="H70" s="272">
        <v>1</v>
      </c>
      <c r="I70" s="272"/>
      <c r="J70" s="272"/>
      <c r="K70" s="272"/>
      <c r="L70" s="272"/>
      <c r="M70" s="272"/>
      <c r="N70" s="273">
        <f>SUM(B70:M70)</f>
        <v>4</v>
      </c>
      <c r="O70" s="15"/>
    </row>
    <row r="71" spans="1:15" x14ac:dyDescent="0.25">
      <c r="B71" s="43" t="s">
        <v>265</v>
      </c>
    </row>
    <row r="73" spans="1:15" x14ac:dyDescent="0.25">
      <c r="A73" s="189" t="s">
        <v>367</v>
      </c>
      <c r="B73" s="189"/>
      <c r="C73" s="189"/>
      <c r="D73" s="189"/>
    </row>
    <row r="74" spans="1:15" s="1" customFormat="1" x14ac:dyDescent="0.25">
      <c r="A74" s="2" t="s">
        <v>42</v>
      </c>
      <c r="B74" s="3" t="s">
        <v>2</v>
      </c>
      <c r="C74" s="3" t="s">
        <v>3</v>
      </c>
      <c r="D74" s="3" t="s">
        <v>4</v>
      </c>
      <c r="E74" s="3" t="s">
        <v>5</v>
      </c>
      <c r="F74" s="3" t="s">
        <v>6</v>
      </c>
      <c r="G74" s="3" t="s">
        <v>7</v>
      </c>
      <c r="H74" s="3" t="s">
        <v>8</v>
      </c>
      <c r="I74" s="3" t="s">
        <v>9</v>
      </c>
      <c r="J74" s="3" t="s">
        <v>10</v>
      </c>
      <c r="K74" s="3" t="s">
        <v>11</v>
      </c>
      <c r="L74" s="3" t="s">
        <v>12</v>
      </c>
      <c r="M74" s="3" t="s">
        <v>13</v>
      </c>
      <c r="N74" s="4" t="s">
        <v>14</v>
      </c>
    </row>
    <row r="75" spans="1:15" s="1" customForma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5" s="1" customFormat="1" x14ac:dyDescent="0.25">
      <c r="A76" s="4" t="s">
        <v>15</v>
      </c>
      <c r="B76" s="5">
        <f>25-12</f>
        <v>13</v>
      </c>
      <c r="C76" s="3">
        <v>13</v>
      </c>
      <c r="D76" s="3">
        <v>14</v>
      </c>
      <c r="E76" s="3">
        <v>16</v>
      </c>
      <c r="F76" s="3">
        <v>17</v>
      </c>
      <c r="G76" s="6">
        <v>18</v>
      </c>
      <c r="H76" s="3">
        <v>18</v>
      </c>
      <c r="I76" s="3">
        <v>18</v>
      </c>
      <c r="J76" s="3">
        <v>18</v>
      </c>
      <c r="K76" s="3">
        <v>18</v>
      </c>
      <c r="L76" s="3">
        <v>18</v>
      </c>
      <c r="M76" s="3">
        <v>18</v>
      </c>
      <c r="N76" s="7">
        <f>SUM(B76:M76)/12</f>
        <v>16.583333333333332</v>
      </c>
    </row>
    <row r="77" spans="1:15" s="1" customFormat="1" x14ac:dyDescent="0.25">
      <c r="A77" s="4" t="s">
        <v>16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9">
        <f>SUM(B77:M77)/12</f>
        <v>0</v>
      </c>
    </row>
    <row r="78" spans="1:15" s="1" customFormat="1" x14ac:dyDescent="0.25">
      <c r="A78" s="4" t="s">
        <v>17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9">
        <f>SUM(B78:M78)/12</f>
        <v>0</v>
      </c>
    </row>
    <row r="79" spans="1:15" s="1" customFormat="1" x14ac:dyDescent="0.25">
      <c r="A79" s="4"/>
      <c r="B79" s="10"/>
      <c r="C79" s="10"/>
      <c r="D79" s="10"/>
      <c r="E79" s="10"/>
      <c r="F79" s="10"/>
      <c r="G79" s="10"/>
      <c r="H79" s="8"/>
      <c r="I79" s="10"/>
      <c r="J79" s="10"/>
      <c r="K79" s="10"/>
      <c r="L79" s="10"/>
      <c r="M79" s="10"/>
      <c r="N79" s="11"/>
      <c r="O79" s="12"/>
    </row>
    <row r="80" spans="1:15" s="1" customFormat="1" x14ac:dyDescent="0.25">
      <c r="A80" s="2" t="s">
        <v>270</v>
      </c>
      <c r="B80" s="3">
        <f t="shared" ref="B80:M80" si="6">B76+(B78*1.5)+(B77*0.8)</f>
        <v>13</v>
      </c>
      <c r="C80" s="3">
        <f t="shared" si="6"/>
        <v>13</v>
      </c>
      <c r="D80" s="3">
        <f t="shared" si="6"/>
        <v>14</v>
      </c>
      <c r="E80" s="3">
        <f t="shared" si="6"/>
        <v>16</v>
      </c>
      <c r="F80" s="3">
        <f t="shared" si="6"/>
        <v>17</v>
      </c>
      <c r="G80" s="3">
        <f t="shared" si="6"/>
        <v>18</v>
      </c>
      <c r="H80" s="3">
        <f t="shared" si="6"/>
        <v>18</v>
      </c>
      <c r="I80" s="3">
        <f t="shared" si="6"/>
        <v>18</v>
      </c>
      <c r="J80" s="3">
        <f t="shared" si="6"/>
        <v>18</v>
      </c>
      <c r="K80" s="3">
        <f t="shared" si="6"/>
        <v>18</v>
      </c>
      <c r="L80" s="3">
        <f t="shared" si="6"/>
        <v>18</v>
      </c>
      <c r="M80" s="3">
        <f t="shared" si="6"/>
        <v>18</v>
      </c>
      <c r="N80" s="9">
        <f>SUM(B80:M80)/12</f>
        <v>16.583333333333332</v>
      </c>
    </row>
    <row r="81" spans="1:15" s="1" customFormat="1" x14ac:dyDescent="0.25">
      <c r="A81" s="270" t="s">
        <v>19</v>
      </c>
      <c r="B81" s="271">
        <v>0</v>
      </c>
      <c r="C81" s="272"/>
      <c r="D81" s="272">
        <v>1</v>
      </c>
      <c r="E81" s="272">
        <v>2</v>
      </c>
      <c r="F81" s="272">
        <v>1</v>
      </c>
      <c r="G81" s="272">
        <v>1</v>
      </c>
      <c r="H81" s="272"/>
      <c r="I81" s="272"/>
      <c r="J81" s="272"/>
      <c r="K81" s="272"/>
      <c r="L81" s="272"/>
      <c r="M81" s="272"/>
      <c r="N81" s="273">
        <f>SUM(B81:M81)</f>
        <v>5</v>
      </c>
      <c r="O81" s="15"/>
    </row>
    <row r="82" spans="1:15" x14ac:dyDescent="0.25">
      <c r="B82" s="43" t="s">
        <v>368</v>
      </c>
      <c r="L82" s="269"/>
      <c r="M82" s="23"/>
      <c r="N82" s="23"/>
    </row>
    <row r="85" spans="1:15" x14ac:dyDescent="0.25">
      <c r="A85" s="228" t="s">
        <v>369</v>
      </c>
      <c r="B85" s="228"/>
      <c r="C85" s="228"/>
      <c r="D85" s="228"/>
    </row>
    <row r="86" spans="1:15" s="1" customFormat="1" x14ac:dyDescent="0.25">
      <c r="A86" s="2" t="s">
        <v>42</v>
      </c>
      <c r="B86" s="3" t="s">
        <v>2</v>
      </c>
      <c r="C86" s="3" t="s">
        <v>3</v>
      </c>
      <c r="D86" s="3" t="s">
        <v>4</v>
      </c>
      <c r="E86" s="3" t="s">
        <v>5</v>
      </c>
      <c r="F86" s="3" t="s">
        <v>6</v>
      </c>
      <c r="G86" s="3" t="s">
        <v>7</v>
      </c>
      <c r="H86" s="3" t="s">
        <v>8</v>
      </c>
      <c r="I86" s="3" t="s">
        <v>9</v>
      </c>
      <c r="J86" s="3" t="s">
        <v>10</v>
      </c>
      <c r="K86" s="3" t="s">
        <v>11</v>
      </c>
      <c r="L86" s="3" t="s">
        <v>12</v>
      </c>
      <c r="M86" s="3" t="s">
        <v>13</v>
      </c>
      <c r="N86" s="4" t="s">
        <v>14</v>
      </c>
    </row>
    <row r="87" spans="1:15" s="1" customForma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5" s="1" customFormat="1" x14ac:dyDescent="0.25">
      <c r="A88" s="4" t="s">
        <v>15</v>
      </c>
      <c r="B88" s="5">
        <f>18-6</f>
        <v>12</v>
      </c>
      <c r="C88" s="3">
        <v>12</v>
      </c>
      <c r="D88" s="3">
        <v>12</v>
      </c>
      <c r="E88" s="3">
        <v>12</v>
      </c>
      <c r="F88" s="3">
        <v>13</v>
      </c>
      <c r="G88" s="6">
        <v>13</v>
      </c>
      <c r="H88" s="3">
        <v>13</v>
      </c>
      <c r="I88" s="3">
        <v>13</v>
      </c>
      <c r="J88" s="3">
        <v>13</v>
      </c>
      <c r="K88" s="3">
        <v>13</v>
      </c>
      <c r="L88" s="3">
        <v>13</v>
      </c>
      <c r="M88" s="3">
        <v>13</v>
      </c>
      <c r="N88" s="7">
        <f>SUM(B88:M88)/12</f>
        <v>12.666666666666666</v>
      </c>
    </row>
    <row r="89" spans="1:15" s="1" customFormat="1" x14ac:dyDescent="0.25">
      <c r="A89" s="4" t="s">
        <v>16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9">
        <f>SUM(B89:M89)/12</f>
        <v>0</v>
      </c>
    </row>
    <row r="90" spans="1:15" s="1" customFormat="1" x14ac:dyDescent="0.25">
      <c r="A90" s="4" t="s">
        <v>17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9">
        <f>SUM(B90:M90)/12</f>
        <v>0</v>
      </c>
    </row>
    <row r="91" spans="1:15" s="1" customFormat="1" x14ac:dyDescent="0.25">
      <c r="A91" s="4"/>
      <c r="B91" s="10"/>
      <c r="C91" s="10"/>
      <c r="D91" s="10"/>
      <c r="E91" s="10"/>
      <c r="F91" s="10"/>
      <c r="G91" s="10"/>
      <c r="H91" s="8"/>
      <c r="I91" s="10"/>
      <c r="J91" s="10"/>
      <c r="K91" s="10"/>
      <c r="L91" s="10"/>
      <c r="M91" s="10"/>
      <c r="N91" s="11"/>
      <c r="O91" s="12"/>
    </row>
    <row r="92" spans="1:15" s="1" customFormat="1" x14ac:dyDescent="0.25">
      <c r="A92" s="2" t="s">
        <v>270</v>
      </c>
      <c r="B92" s="3">
        <f t="shared" ref="B92:M92" si="7">B88+(B90*1.5)+(B89*0.8)</f>
        <v>12</v>
      </c>
      <c r="C92" s="3">
        <f t="shared" si="7"/>
        <v>12</v>
      </c>
      <c r="D92" s="3">
        <f t="shared" si="7"/>
        <v>12</v>
      </c>
      <c r="E92" s="3">
        <f t="shared" si="7"/>
        <v>12</v>
      </c>
      <c r="F92" s="3">
        <f t="shared" si="7"/>
        <v>13</v>
      </c>
      <c r="G92" s="3">
        <f t="shared" si="7"/>
        <v>13</v>
      </c>
      <c r="H92" s="3">
        <f t="shared" si="7"/>
        <v>13</v>
      </c>
      <c r="I92" s="3">
        <f t="shared" si="7"/>
        <v>13</v>
      </c>
      <c r="J92" s="3">
        <f t="shared" si="7"/>
        <v>13</v>
      </c>
      <c r="K92" s="3">
        <f t="shared" si="7"/>
        <v>13</v>
      </c>
      <c r="L92" s="3">
        <f t="shared" si="7"/>
        <v>13</v>
      </c>
      <c r="M92" s="3">
        <f t="shared" si="7"/>
        <v>13</v>
      </c>
      <c r="N92" s="9">
        <f>SUM(B92:M92)/12</f>
        <v>12.666666666666666</v>
      </c>
    </row>
    <row r="93" spans="1:15" s="1" customFormat="1" x14ac:dyDescent="0.25">
      <c r="A93" s="270" t="s">
        <v>19</v>
      </c>
      <c r="B93" s="271">
        <v>0</v>
      </c>
      <c r="C93" s="272"/>
      <c r="D93" s="272">
        <v>0</v>
      </c>
      <c r="E93" s="272">
        <v>0</v>
      </c>
      <c r="F93" s="272">
        <v>1</v>
      </c>
      <c r="G93" s="240" t="s">
        <v>371</v>
      </c>
      <c r="H93" s="85"/>
      <c r="I93" s="85"/>
      <c r="J93" s="85"/>
      <c r="K93" s="85"/>
      <c r="L93" s="240"/>
      <c r="M93" s="85"/>
      <c r="N93" s="16">
        <f>SUM(B93:M93)</f>
        <v>1</v>
      </c>
      <c r="O93" s="15"/>
    </row>
    <row r="94" spans="1:15" x14ac:dyDescent="0.25">
      <c r="B94" s="43" t="s">
        <v>370</v>
      </c>
      <c r="N94" s="23"/>
    </row>
    <row r="96" spans="1:15" ht="14.25" customHeight="1" x14ac:dyDescent="0.35">
      <c r="A96" s="312"/>
      <c r="B96" s="313"/>
      <c r="C96" s="314"/>
      <c r="D96" s="314"/>
      <c r="E96" s="314"/>
      <c r="F96" s="314"/>
      <c r="G96" s="314"/>
      <c r="H96" s="314"/>
      <c r="I96" s="314"/>
      <c r="J96" s="314"/>
      <c r="K96" s="314"/>
      <c r="L96" s="314"/>
      <c r="M96" s="314"/>
      <c r="N96" s="314"/>
    </row>
    <row r="97" spans="1:15" ht="21" x14ac:dyDescent="0.35">
      <c r="A97" s="244"/>
      <c r="B97" s="243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</row>
    <row r="99" spans="1:15" x14ac:dyDescent="0.25">
      <c r="A99" s="229" t="s">
        <v>264</v>
      </c>
      <c r="B99" s="229"/>
      <c r="C99" s="229"/>
      <c r="D99" s="229"/>
    </row>
    <row r="100" spans="1:15" s="1" customFormat="1" x14ac:dyDescent="0.25">
      <c r="A100" s="2" t="s">
        <v>42</v>
      </c>
      <c r="B100" s="3" t="s">
        <v>2</v>
      </c>
      <c r="C100" s="3" t="s">
        <v>3</v>
      </c>
      <c r="D100" s="3" t="s">
        <v>4</v>
      </c>
      <c r="E100" s="3" t="s">
        <v>5</v>
      </c>
      <c r="F100" s="3" t="s">
        <v>6</v>
      </c>
      <c r="G100" s="3" t="s">
        <v>7</v>
      </c>
      <c r="H100" s="3" t="s">
        <v>8</v>
      </c>
      <c r="I100" s="3" t="s">
        <v>9</v>
      </c>
      <c r="J100" s="3" t="s">
        <v>10</v>
      </c>
      <c r="K100" s="3" t="s">
        <v>11</v>
      </c>
      <c r="L100" s="3" t="s">
        <v>12</v>
      </c>
      <c r="M100" s="3" t="s">
        <v>13</v>
      </c>
      <c r="N100" s="4" t="s">
        <v>14</v>
      </c>
    </row>
    <row r="101" spans="1:15" s="1" customForma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5" s="1" customFormat="1" x14ac:dyDescent="0.25">
      <c r="A102" s="4" t="s">
        <v>15</v>
      </c>
      <c r="B102" s="5">
        <f>41-11+1</f>
        <v>31</v>
      </c>
      <c r="C102" s="3">
        <v>31</v>
      </c>
      <c r="D102" s="3">
        <v>31</v>
      </c>
      <c r="E102" s="3">
        <v>31</v>
      </c>
      <c r="F102" s="3">
        <v>31</v>
      </c>
      <c r="G102" s="6">
        <v>32</v>
      </c>
      <c r="H102" s="3">
        <v>32</v>
      </c>
      <c r="I102" s="3">
        <v>32</v>
      </c>
      <c r="J102" s="3">
        <v>32</v>
      </c>
      <c r="K102" s="3">
        <v>33</v>
      </c>
      <c r="L102" s="3">
        <v>33</v>
      </c>
      <c r="M102" s="3">
        <v>33</v>
      </c>
      <c r="N102" s="7">
        <f>SUM(B102:M102)/12</f>
        <v>31.833333333333332</v>
      </c>
    </row>
    <row r="103" spans="1:15" s="1" customFormat="1" x14ac:dyDescent="0.25">
      <c r="A103" s="4" t="s">
        <v>16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9">
        <f>SUM(B103:M103)/12</f>
        <v>0</v>
      </c>
    </row>
    <row r="104" spans="1:15" s="1" customFormat="1" x14ac:dyDescent="0.25">
      <c r="A104" s="4" t="s">
        <v>17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9">
        <f>SUM(B104:M104)/12</f>
        <v>0</v>
      </c>
    </row>
    <row r="105" spans="1:15" s="1" customFormat="1" x14ac:dyDescent="0.25">
      <c r="A105" s="4"/>
      <c r="B105" s="10"/>
      <c r="C105" s="10"/>
      <c r="D105" s="10"/>
      <c r="E105" s="10"/>
      <c r="F105" s="10"/>
      <c r="G105" s="10"/>
      <c r="H105" s="8"/>
      <c r="I105" s="10"/>
      <c r="J105" s="10"/>
      <c r="K105" s="10"/>
      <c r="L105" s="10"/>
      <c r="M105" s="10"/>
      <c r="N105" s="11"/>
      <c r="O105" s="12"/>
    </row>
    <row r="106" spans="1:15" s="1" customFormat="1" x14ac:dyDescent="0.25">
      <c r="A106" s="2" t="s">
        <v>51</v>
      </c>
      <c r="B106" s="3">
        <f t="shared" ref="B106:M106" si="8">B102+(B104*1.5)+(B103*0.8)</f>
        <v>31</v>
      </c>
      <c r="C106" s="3">
        <f t="shared" si="8"/>
        <v>31</v>
      </c>
      <c r="D106" s="3">
        <f t="shared" si="8"/>
        <v>31</v>
      </c>
      <c r="E106" s="3">
        <f t="shared" si="8"/>
        <v>31</v>
      </c>
      <c r="F106" s="3">
        <f t="shared" si="8"/>
        <v>31</v>
      </c>
      <c r="G106" s="3">
        <f t="shared" si="8"/>
        <v>32</v>
      </c>
      <c r="H106" s="3">
        <f t="shared" si="8"/>
        <v>32</v>
      </c>
      <c r="I106" s="3">
        <f t="shared" si="8"/>
        <v>32</v>
      </c>
      <c r="J106" s="3">
        <f t="shared" si="8"/>
        <v>32</v>
      </c>
      <c r="K106" s="3">
        <f t="shared" si="8"/>
        <v>33</v>
      </c>
      <c r="L106" s="3">
        <f t="shared" si="8"/>
        <v>33</v>
      </c>
      <c r="M106" s="3">
        <f t="shared" si="8"/>
        <v>33</v>
      </c>
      <c r="N106" s="9">
        <f>SUM(B106:M106)/12</f>
        <v>31.833333333333332</v>
      </c>
    </row>
    <row r="107" spans="1:15" s="1" customFormat="1" x14ac:dyDescent="0.25">
      <c r="A107" s="13" t="s">
        <v>19</v>
      </c>
      <c r="B107" s="14">
        <v>1</v>
      </c>
      <c r="C107" s="15"/>
      <c r="D107" s="15"/>
      <c r="E107" s="15"/>
      <c r="F107" s="15"/>
      <c r="G107" s="15">
        <v>1</v>
      </c>
      <c r="H107" s="15"/>
      <c r="I107" s="15"/>
      <c r="J107" s="15"/>
      <c r="K107" s="15">
        <v>1</v>
      </c>
      <c r="L107" s="15"/>
      <c r="M107" s="15"/>
      <c r="N107" s="16">
        <f>SUM(B107:M107)</f>
        <v>3</v>
      </c>
      <c r="O107" s="15"/>
    </row>
    <row r="108" spans="1:15" x14ac:dyDescent="0.25">
      <c r="B108" s="43" t="s">
        <v>238</v>
      </c>
    </row>
    <row r="110" spans="1:15" x14ac:dyDescent="0.25">
      <c r="A110" s="221" t="s">
        <v>262</v>
      </c>
      <c r="B110" s="221"/>
      <c r="C110" s="221"/>
      <c r="D110" s="221"/>
    </row>
    <row r="111" spans="1:15" s="1" customFormat="1" x14ac:dyDescent="0.25">
      <c r="A111" s="2" t="s">
        <v>42</v>
      </c>
      <c r="B111" s="3" t="s">
        <v>2</v>
      </c>
      <c r="C111" s="3" t="s">
        <v>3</v>
      </c>
      <c r="D111" s="3" t="s">
        <v>4</v>
      </c>
      <c r="E111" s="3" t="s">
        <v>5</v>
      </c>
      <c r="F111" s="3" t="s">
        <v>6</v>
      </c>
      <c r="G111" s="3" t="s">
        <v>7</v>
      </c>
      <c r="H111" s="3" t="s">
        <v>8</v>
      </c>
      <c r="I111" s="3" t="s">
        <v>9</v>
      </c>
      <c r="J111" s="3" t="s">
        <v>10</v>
      </c>
      <c r="K111" s="3" t="s">
        <v>11</v>
      </c>
      <c r="L111" s="3" t="s">
        <v>12</v>
      </c>
      <c r="M111" s="3" t="s">
        <v>13</v>
      </c>
      <c r="N111" s="4" t="s">
        <v>14</v>
      </c>
    </row>
    <row r="112" spans="1:15" s="1" customForma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5" s="1" customFormat="1" x14ac:dyDescent="0.25">
      <c r="A113" s="4" t="s">
        <v>15</v>
      </c>
      <c r="B113" s="5">
        <f>33-13</f>
        <v>20</v>
      </c>
      <c r="C113" s="3">
        <v>21</v>
      </c>
      <c r="D113" s="3">
        <v>21</v>
      </c>
      <c r="E113" s="3">
        <v>21</v>
      </c>
      <c r="F113" s="3">
        <v>21</v>
      </c>
      <c r="G113" s="6">
        <v>22</v>
      </c>
      <c r="H113" s="3">
        <v>23</v>
      </c>
      <c r="I113" s="3">
        <v>23</v>
      </c>
      <c r="J113" s="3">
        <v>23</v>
      </c>
      <c r="K113" s="3">
        <v>23</v>
      </c>
      <c r="L113" s="3">
        <v>23</v>
      </c>
      <c r="M113" s="3">
        <v>23</v>
      </c>
      <c r="N113" s="7">
        <f>SUM(B113:M113)/12</f>
        <v>22</v>
      </c>
    </row>
    <row r="114" spans="1:15" s="1" customFormat="1" x14ac:dyDescent="0.25">
      <c r="A114" s="4" t="s">
        <v>16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9">
        <f>SUM(B114:M114)/12</f>
        <v>0</v>
      </c>
    </row>
    <row r="115" spans="1:15" s="1" customFormat="1" x14ac:dyDescent="0.25">
      <c r="A115" s="4" t="s">
        <v>17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9">
        <f>SUM(B115:M115)/12</f>
        <v>0</v>
      </c>
    </row>
    <row r="116" spans="1:15" s="1" customFormat="1" x14ac:dyDescent="0.25">
      <c r="A116" s="4"/>
      <c r="B116" s="10"/>
      <c r="C116" s="10"/>
      <c r="D116" s="10"/>
      <c r="E116" s="10"/>
      <c r="F116" s="10"/>
      <c r="G116" s="10"/>
      <c r="H116" s="8"/>
      <c r="I116" s="10"/>
      <c r="J116" s="10"/>
      <c r="K116" s="10"/>
      <c r="L116" s="10"/>
      <c r="M116" s="10"/>
      <c r="N116" s="11"/>
      <c r="O116" s="12"/>
    </row>
    <row r="117" spans="1:15" s="1" customFormat="1" x14ac:dyDescent="0.25">
      <c r="A117" s="2" t="s">
        <v>269</v>
      </c>
      <c r="B117" s="3">
        <f t="shared" ref="B117:M117" si="9">B113+(B115*1.5)+(B114*0.8)</f>
        <v>20</v>
      </c>
      <c r="C117" s="3">
        <f t="shared" si="9"/>
        <v>21</v>
      </c>
      <c r="D117" s="3">
        <f t="shared" si="9"/>
        <v>21</v>
      </c>
      <c r="E117" s="3">
        <f t="shared" si="9"/>
        <v>21</v>
      </c>
      <c r="F117" s="3">
        <f t="shared" si="9"/>
        <v>21</v>
      </c>
      <c r="G117" s="3">
        <f t="shared" si="9"/>
        <v>22</v>
      </c>
      <c r="H117" s="3">
        <f t="shared" si="9"/>
        <v>23</v>
      </c>
      <c r="I117" s="3">
        <f t="shared" si="9"/>
        <v>23</v>
      </c>
      <c r="J117" s="3">
        <f t="shared" si="9"/>
        <v>23</v>
      </c>
      <c r="K117" s="3">
        <f t="shared" si="9"/>
        <v>23</v>
      </c>
      <c r="L117" s="3">
        <f t="shared" si="9"/>
        <v>23</v>
      </c>
      <c r="M117" s="3">
        <f t="shared" si="9"/>
        <v>23</v>
      </c>
      <c r="N117" s="9">
        <f>SUM(B117:M117)/12</f>
        <v>22</v>
      </c>
    </row>
    <row r="118" spans="1:15" s="1" customFormat="1" x14ac:dyDescent="0.25">
      <c r="A118" s="13" t="s">
        <v>19</v>
      </c>
      <c r="B118" s="14"/>
      <c r="C118" s="15">
        <v>1</v>
      </c>
      <c r="D118" s="15"/>
      <c r="E118" s="15"/>
      <c r="F118" s="15"/>
      <c r="G118" s="15">
        <v>1</v>
      </c>
      <c r="H118" s="15">
        <v>1</v>
      </c>
      <c r="I118" s="15"/>
      <c r="J118" s="15"/>
      <c r="K118" s="15"/>
      <c r="L118" s="15"/>
      <c r="M118" s="15"/>
      <c r="N118" s="16">
        <f>SUM(B118:M118)</f>
        <v>3</v>
      </c>
      <c r="O118" s="15"/>
    </row>
    <row r="119" spans="1:15" x14ac:dyDescent="0.25">
      <c r="B119" s="43" t="s">
        <v>265</v>
      </c>
    </row>
    <row r="121" spans="1:15" x14ac:dyDescent="0.25">
      <c r="A121" s="189" t="s">
        <v>263</v>
      </c>
      <c r="B121" s="189"/>
      <c r="C121" s="189"/>
      <c r="D121" s="189"/>
    </row>
    <row r="122" spans="1:15" s="1" customFormat="1" x14ac:dyDescent="0.25">
      <c r="A122" s="2" t="s">
        <v>42</v>
      </c>
      <c r="B122" s="3" t="s">
        <v>2</v>
      </c>
      <c r="C122" s="3" t="s">
        <v>3</v>
      </c>
      <c r="D122" s="3" t="s">
        <v>4</v>
      </c>
      <c r="E122" s="3" t="s">
        <v>5</v>
      </c>
      <c r="F122" s="3" t="s">
        <v>6</v>
      </c>
      <c r="G122" s="3" t="s">
        <v>7</v>
      </c>
      <c r="H122" s="3" t="s">
        <v>8</v>
      </c>
      <c r="I122" s="3" t="s">
        <v>9</v>
      </c>
      <c r="J122" s="3" t="s">
        <v>10</v>
      </c>
      <c r="K122" s="3" t="s">
        <v>11</v>
      </c>
      <c r="L122" s="3" t="s">
        <v>12</v>
      </c>
      <c r="M122" s="3" t="s">
        <v>13</v>
      </c>
      <c r="N122" s="4" t="s">
        <v>14</v>
      </c>
    </row>
    <row r="123" spans="1:15" s="1" customForma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5" s="1" customFormat="1" x14ac:dyDescent="0.25">
      <c r="A124" s="4" t="s">
        <v>15</v>
      </c>
      <c r="B124" s="5">
        <f>23-11+1</f>
        <v>13</v>
      </c>
      <c r="C124" s="3">
        <v>13</v>
      </c>
      <c r="D124" s="3">
        <v>15</v>
      </c>
      <c r="E124" s="3">
        <v>17</v>
      </c>
      <c r="F124" s="3">
        <v>17</v>
      </c>
      <c r="G124" s="6">
        <v>18</v>
      </c>
      <c r="H124" s="3">
        <v>18</v>
      </c>
      <c r="I124" s="3">
        <v>18</v>
      </c>
      <c r="J124" s="3">
        <v>18</v>
      </c>
      <c r="K124" s="3">
        <v>18</v>
      </c>
      <c r="L124" s="3">
        <v>18</v>
      </c>
      <c r="M124" s="3">
        <v>18</v>
      </c>
      <c r="N124" s="7">
        <f>SUM(B124:M124)/12</f>
        <v>16.75</v>
      </c>
    </row>
    <row r="125" spans="1:15" s="1" customFormat="1" x14ac:dyDescent="0.25">
      <c r="A125" s="4" t="s">
        <v>16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>
        <f>SUM(B125:M125)/12</f>
        <v>0</v>
      </c>
    </row>
    <row r="126" spans="1:15" s="1" customFormat="1" x14ac:dyDescent="0.25">
      <c r="A126" s="4" t="s">
        <v>17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9">
        <f>SUM(B126:M126)/12</f>
        <v>0</v>
      </c>
    </row>
    <row r="127" spans="1:15" s="1" customFormat="1" x14ac:dyDescent="0.25">
      <c r="A127" s="4"/>
      <c r="B127" s="10"/>
      <c r="C127" s="10"/>
      <c r="D127" s="10"/>
      <c r="E127" s="10"/>
      <c r="F127" s="10"/>
      <c r="G127" s="10"/>
      <c r="H127" s="8"/>
      <c r="I127" s="10"/>
      <c r="J127" s="10"/>
      <c r="K127" s="10"/>
      <c r="L127" s="10"/>
      <c r="M127" s="10"/>
      <c r="N127" s="11"/>
      <c r="O127" s="12"/>
    </row>
    <row r="128" spans="1:15" s="1" customFormat="1" x14ac:dyDescent="0.25">
      <c r="A128" s="2" t="s">
        <v>270</v>
      </c>
      <c r="B128" s="3">
        <f t="shared" ref="B128:M128" si="10">B124+(B126*1.5)+(B125*0.8)</f>
        <v>13</v>
      </c>
      <c r="C128" s="3">
        <f t="shared" si="10"/>
        <v>13</v>
      </c>
      <c r="D128" s="3">
        <f t="shared" si="10"/>
        <v>15</v>
      </c>
      <c r="E128" s="3">
        <f t="shared" si="10"/>
        <v>17</v>
      </c>
      <c r="F128" s="3">
        <f t="shared" si="10"/>
        <v>17</v>
      </c>
      <c r="G128" s="3">
        <f t="shared" si="10"/>
        <v>18</v>
      </c>
      <c r="H128" s="3">
        <f t="shared" si="10"/>
        <v>18</v>
      </c>
      <c r="I128" s="3">
        <f t="shared" si="10"/>
        <v>18</v>
      </c>
      <c r="J128" s="3">
        <f t="shared" si="10"/>
        <v>18</v>
      </c>
      <c r="K128" s="3">
        <f t="shared" si="10"/>
        <v>18</v>
      </c>
      <c r="L128" s="3">
        <f t="shared" si="10"/>
        <v>18</v>
      </c>
      <c r="M128" s="3">
        <f t="shared" si="10"/>
        <v>18</v>
      </c>
      <c r="N128" s="9">
        <f>SUM(B128:M128)/12</f>
        <v>16.75</v>
      </c>
    </row>
    <row r="129" spans="1:15" s="1" customFormat="1" x14ac:dyDescent="0.25">
      <c r="A129" s="13" t="s">
        <v>19</v>
      </c>
      <c r="B129" s="14">
        <v>1</v>
      </c>
      <c r="C129" s="15"/>
      <c r="D129" s="15">
        <v>2</v>
      </c>
      <c r="E129" s="15">
        <v>2</v>
      </c>
      <c r="F129" s="15"/>
      <c r="G129" s="15">
        <v>1</v>
      </c>
      <c r="H129" s="15"/>
      <c r="I129" s="15"/>
      <c r="J129" s="15"/>
      <c r="K129" s="15"/>
      <c r="L129" s="15"/>
      <c r="M129" s="15"/>
      <c r="N129" s="16">
        <f>SUM(B129:M129)</f>
        <v>6</v>
      </c>
      <c r="O129" s="15"/>
    </row>
    <row r="130" spans="1:15" x14ac:dyDescent="0.25">
      <c r="B130" s="43" t="s">
        <v>266</v>
      </c>
      <c r="L130" s="240" t="s">
        <v>267</v>
      </c>
      <c r="M130" s="85"/>
      <c r="N130" s="85"/>
    </row>
  </sheetData>
  <pageMargins left="0" right="0" top="0.74803149606299213" bottom="0.35433070866141736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L34" sqref="L34:N34"/>
    </sheetView>
  </sheetViews>
  <sheetFormatPr defaultRowHeight="15" x14ac:dyDescent="0.25"/>
  <sheetData>
    <row r="1" spans="1:15" x14ac:dyDescent="0.25">
      <c r="A1" s="229" t="s">
        <v>264</v>
      </c>
      <c r="B1" s="229"/>
      <c r="C1" s="229"/>
      <c r="D1" s="229"/>
    </row>
    <row r="2" spans="1:15" s="1" customFormat="1" x14ac:dyDescent="0.25">
      <c r="A2" s="2" t="s">
        <v>20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14</v>
      </c>
    </row>
    <row r="3" spans="1:15" s="1" customForma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1" customFormat="1" x14ac:dyDescent="0.25">
      <c r="A4" s="4" t="s">
        <v>15</v>
      </c>
      <c r="B4" s="5">
        <v>37</v>
      </c>
      <c r="C4" s="3">
        <v>38</v>
      </c>
      <c r="D4" s="3">
        <v>40</v>
      </c>
      <c r="E4" s="3">
        <v>43</v>
      </c>
      <c r="F4" s="3">
        <v>45</v>
      </c>
      <c r="G4" s="6">
        <v>49</v>
      </c>
      <c r="H4" s="3">
        <v>52</v>
      </c>
      <c r="I4" s="3">
        <v>53</v>
      </c>
      <c r="J4" s="3">
        <v>53</v>
      </c>
      <c r="K4" s="3">
        <v>56</v>
      </c>
      <c r="L4" s="3">
        <v>58</v>
      </c>
      <c r="M4" s="3">
        <v>61</v>
      </c>
      <c r="N4" s="7">
        <f>SUM(B4:M4)/12</f>
        <v>48.75</v>
      </c>
    </row>
    <row r="5" spans="1:15" s="1" customFormat="1" x14ac:dyDescent="0.25">
      <c r="A5" s="4" t="s">
        <v>16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>
        <f>SUM(B5:M5)/12</f>
        <v>0</v>
      </c>
    </row>
    <row r="6" spans="1:15" s="1" customFormat="1" x14ac:dyDescent="0.25">
      <c r="A6" s="4" t="s">
        <v>17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9">
        <f>SUM(B6:M6)/12</f>
        <v>0</v>
      </c>
    </row>
    <row r="7" spans="1:15" s="1" customFormat="1" x14ac:dyDescent="0.25">
      <c r="A7" s="4"/>
      <c r="B7" s="10"/>
      <c r="C7" s="10"/>
      <c r="D7" s="10"/>
      <c r="E7" s="10"/>
      <c r="F7" s="10"/>
      <c r="G7" s="10"/>
      <c r="H7" s="8"/>
      <c r="I7" s="10"/>
      <c r="J7" s="10"/>
      <c r="K7" s="10"/>
      <c r="L7" s="10"/>
      <c r="M7" s="10"/>
      <c r="N7" s="11"/>
      <c r="O7" s="12"/>
    </row>
    <row r="8" spans="1:15" s="1" customFormat="1" x14ac:dyDescent="0.25">
      <c r="A8" s="2" t="s">
        <v>51</v>
      </c>
      <c r="B8" s="3">
        <f>B4+(B6*1.5)+(B5*0.8)</f>
        <v>37</v>
      </c>
      <c r="C8" s="3">
        <f>C4+(C6*1.5)+(C5*0.8)</f>
        <v>38</v>
      </c>
      <c r="D8" s="3">
        <f>D4+(D6*1.5)+(D5*0.8)</f>
        <v>40</v>
      </c>
      <c r="E8" s="3">
        <f>E4+(E6*1.5)+(E5*0.8)</f>
        <v>43</v>
      </c>
      <c r="F8" s="3">
        <f>F4+(F6*1.5)+(F5*0.8)</f>
        <v>45</v>
      </c>
      <c r="G8" s="3">
        <f t="shared" ref="G8:M8" si="0">G4+(G6*1.5)+(G5*0.8)</f>
        <v>49</v>
      </c>
      <c r="H8" s="3">
        <f t="shared" si="0"/>
        <v>52</v>
      </c>
      <c r="I8" s="3">
        <f t="shared" si="0"/>
        <v>53</v>
      </c>
      <c r="J8" s="3">
        <f t="shared" si="0"/>
        <v>53</v>
      </c>
      <c r="K8" s="3">
        <f t="shared" si="0"/>
        <v>56</v>
      </c>
      <c r="L8" s="3">
        <f t="shared" si="0"/>
        <v>58</v>
      </c>
      <c r="M8" s="3">
        <f t="shared" si="0"/>
        <v>61</v>
      </c>
      <c r="N8" s="9">
        <f>SUM(B8:M8)/12</f>
        <v>48.75</v>
      </c>
    </row>
    <row r="9" spans="1:15" s="1" customFormat="1" x14ac:dyDescent="0.25">
      <c r="A9" s="13" t="s">
        <v>19</v>
      </c>
      <c r="B9" s="14"/>
      <c r="C9" s="15">
        <v>1</v>
      </c>
      <c r="D9" s="15">
        <v>2</v>
      </c>
      <c r="E9" s="15">
        <v>3</v>
      </c>
      <c r="F9" s="15">
        <v>2</v>
      </c>
      <c r="G9" s="15">
        <v>4</v>
      </c>
      <c r="H9" s="15">
        <v>3</v>
      </c>
      <c r="I9" s="15">
        <v>1</v>
      </c>
      <c r="J9" s="15">
        <v>0</v>
      </c>
      <c r="K9" s="15">
        <v>3</v>
      </c>
      <c r="L9" s="15">
        <v>2</v>
      </c>
      <c r="M9" s="15">
        <v>3</v>
      </c>
      <c r="N9" s="16">
        <f>SUM(B9:M9)</f>
        <v>24</v>
      </c>
      <c r="O9" s="15"/>
    </row>
    <row r="10" spans="1:15" x14ac:dyDescent="0.25">
      <c r="B10" t="s">
        <v>44</v>
      </c>
    </row>
    <row r="11" spans="1:15" x14ac:dyDescent="0.25">
      <c r="B11" s="19" t="s">
        <v>261</v>
      </c>
    </row>
    <row r="12" spans="1:15" x14ac:dyDescent="0.25">
      <c r="B12" s="19" t="s">
        <v>278</v>
      </c>
    </row>
    <row r="14" spans="1:15" x14ac:dyDescent="0.25">
      <c r="A14" s="221" t="s">
        <v>262</v>
      </c>
      <c r="B14" s="221"/>
      <c r="C14" s="221"/>
      <c r="D14" s="221"/>
    </row>
    <row r="15" spans="1:15" s="1" customFormat="1" x14ac:dyDescent="0.25">
      <c r="A15" s="2" t="s">
        <v>20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4" t="s">
        <v>14</v>
      </c>
    </row>
    <row r="16" spans="1:15" s="1" customForma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5" s="1" customFormat="1" x14ac:dyDescent="0.25">
      <c r="A17" s="4" t="s">
        <v>15</v>
      </c>
      <c r="B17" s="5">
        <f>61-18</f>
        <v>43</v>
      </c>
      <c r="C17" s="3">
        <v>43</v>
      </c>
      <c r="D17" s="3">
        <v>43</v>
      </c>
      <c r="E17" s="3">
        <v>43</v>
      </c>
      <c r="F17" s="3">
        <v>44</v>
      </c>
      <c r="G17" s="6">
        <v>46</v>
      </c>
      <c r="H17" s="3">
        <v>47</v>
      </c>
      <c r="I17" s="3">
        <v>49</v>
      </c>
      <c r="J17" s="3">
        <v>50</v>
      </c>
      <c r="K17" s="3">
        <v>51</v>
      </c>
      <c r="L17" s="3">
        <v>52</v>
      </c>
      <c r="M17" s="3">
        <v>52</v>
      </c>
      <c r="N17" s="7">
        <f>SUM(B17:M17)/12</f>
        <v>46.916666666666664</v>
      </c>
    </row>
    <row r="18" spans="1:15" s="1" customFormat="1" x14ac:dyDescent="0.25">
      <c r="A18" s="4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>
        <f>SUM(B18:M18)/12</f>
        <v>0</v>
      </c>
    </row>
    <row r="19" spans="1:15" s="1" customFormat="1" x14ac:dyDescent="0.25">
      <c r="A19" s="4" t="s">
        <v>17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9">
        <f>SUM(B19:M19)/12</f>
        <v>0</v>
      </c>
    </row>
    <row r="20" spans="1:15" s="1" customFormat="1" x14ac:dyDescent="0.25">
      <c r="A20" s="4"/>
      <c r="B20" s="10"/>
      <c r="C20" s="10"/>
      <c r="D20" s="10"/>
      <c r="E20" s="10"/>
      <c r="F20" s="10"/>
      <c r="G20" s="10"/>
      <c r="H20" s="8"/>
      <c r="I20" s="10"/>
      <c r="J20" s="10"/>
      <c r="K20" s="10"/>
      <c r="L20" s="10"/>
      <c r="M20" s="10"/>
      <c r="N20" s="11"/>
      <c r="O20" s="12"/>
    </row>
    <row r="21" spans="1:15" s="1" customFormat="1" x14ac:dyDescent="0.25">
      <c r="A21" s="2" t="s">
        <v>269</v>
      </c>
      <c r="B21" s="3">
        <f t="shared" ref="B21:M21" si="1">B17+(B19*1.5)+(B18*0.8)</f>
        <v>43</v>
      </c>
      <c r="C21" s="3">
        <f t="shared" si="1"/>
        <v>43</v>
      </c>
      <c r="D21" s="3">
        <f t="shared" si="1"/>
        <v>43</v>
      </c>
      <c r="E21" s="3">
        <f t="shared" si="1"/>
        <v>43</v>
      </c>
      <c r="F21" s="3">
        <f t="shared" si="1"/>
        <v>44</v>
      </c>
      <c r="G21" s="3">
        <f t="shared" si="1"/>
        <v>46</v>
      </c>
      <c r="H21" s="3">
        <f t="shared" si="1"/>
        <v>47</v>
      </c>
      <c r="I21" s="3">
        <f t="shared" si="1"/>
        <v>49</v>
      </c>
      <c r="J21" s="3">
        <f t="shared" si="1"/>
        <v>50</v>
      </c>
      <c r="K21" s="3">
        <f t="shared" si="1"/>
        <v>51</v>
      </c>
      <c r="L21" s="3">
        <f t="shared" si="1"/>
        <v>52</v>
      </c>
      <c r="M21" s="3">
        <f t="shared" si="1"/>
        <v>52</v>
      </c>
      <c r="N21" s="9">
        <f>SUM(B21:M21)/12</f>
        <v>46.916666666666664</v>
      </c>
    </row>
    <row r="22" spans="1:15" s="1" customFormat="1" x14ac:dyDescent="0.25">
      <c r="A22" s="13" t="s">
        <v>19</v>
      </c>
      <c r="B22" s="14"/>
      <c r="C22" s="15"/>
      <c r="D22" s="15"/>
      <c r="E22" s="15"/>
      <c r="F22" s="15">
        <v>1</v>
      </c>
      <c r="G22" s="15">
        <v>2</v>
      </c>
      <c r="H22" s="15">
        <v>1</v>
      </c>
      <c r="I22" s="15">
        <v>2</v>
      </c>
      <c r="J22" s="15">
        <v>1</v>
      </c>
      <c r="K22" s="15">
        <v>1</v>
      </c>
      <c r="L22" s="15">
        <v>1</v>
      </c>
      <c r="M22" s="15"/>
      <c r="N22" s="16">
        <f>SUM(B22:M22)</f>
        <v>9</v>
      </c>
      <c r="O22" s="15"/>
    </row>
    <row r="23" spans="1:15" x14ac:dyDescent="0.25">
      <c r="B23" s="43" t="s">
        <v>275</v>
      </c>
    </row>
    <row r="25" spans="1:15" x14ac:dyDescent="0.25">
      <c r="A25" s="189" t="s">
        <v>263</v>
      </c>
      <c r="B25" s="189"/>
      <c r="C25" s="189"/>
      <c r="D25" s="189"/>
    </row>
    <row r="26" spans="1:15" s="1" customFormat="1" x14ac:dyDescent="0.25">
      <c r="A26" s="2" t="s">
        <v>20</v>
      </c>
      <c r="B26" s="3" t="s">
        <v>2</v>
      </c>
      <c r="C26" s="3" t="s">
        <v>3</v>
      </c>
      <c r="D26" s="3" t="s">
        <v>4</v>
      </c>
      <c r="E26" s="3" t="s">
        <v>5</v>
      </c>
      <c r="F26" s="3" t="s">
        <v>6</v>
      </c>
      <c r="G26" s="3" t="s">
        <v>7</v>
      </c>
      <c r="H26" s="3" t="s">
        <v>8</v>
      </c>
      <c r="I26" s="3" t="s">
        <v>9</v>
      </c>
      <c r="J26" s="3" t="s">
        <v>10</v>
      </c>
      <c r="K26" s="3" t="s">
        <v>11</v>
      </c>
      <c r="L26" s="3" t="s">
        <v>12</v>
      </c>
      <c r="M26" s="3" t="s">
        <v>13</v>
      </c>
      <c r="N26" s="4" t="s">
        <v>14</v>
      </c>
    </row>
    <row r="27" spans="1:15" s="1" customForma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5" s="1" customFormat="1" x14ac:dyDescent="0.25">
      <c r="A28" s="4" t="s">
        <v>15</v>
      </c>
      <c r="B28" s="5">
        <f>52-16</f>
        <v>36</v>
      </c>
      <c r="C28" s="3">
        <v>37</v>
      </c>
      <c r="D28" s="3">
        <v>37</v>
      </c>
      <c r="E28" s="3">
        <v>38</v>
      </c>
      <c r="F28" s="3">
        <v>38</v>
      </c>
      <c r="G28" s="6">
        <v>38</v>
      </c>
      <c r="H28" s="3">
        <v>38</v>
      </c>
      <c r="I28" s="3">
        <v>39</v>
      </c>
      <c r="J28" s="3">
        <v>40</v>
      </c>
      <c r="K28" s="3">
        <v>40</v>
      </c>
      <c r="L28" s="3">
        <v>40</v>
      </c>
      <c r="M28" s="3">
        <v>40</v>
      </c>
      <c r="N28" s="7">
        <f>SUM(B28:M28)/12</f>
        <v>38.416666666666664</v>
      </c>
    </row>
    <row r="29" spans="1:15" s="1" customFormat="1" x14ac:dyDescent="0.25">
      <c r="A29" s="4" t="s">
        <v>16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>
        <f>SUM(B29:M29)/12</f>
        <v>0</v>
      </c>
    </row>
    <row r="30" spans="1:15" s="1" customFormat="1" x14ac:dyDescent="0.25">
      <c r="A30" s="4" t="s">
        <v>17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9">
        <f>SUM(B30:M30)/12</f>
        <v>0</v>
      </c>
    </row>
    <row r="31" spans="1:15" s="1" customFormat="1" x14ac:dyDescent="0.25">
      <c r="A31" s="4"/>
      <c r="B31" s="10"/>
      <c r="C31" s="10"/>
      <c r="D31" s="10"/>
      <c r="E31" s="10"/>
      <c r="F31" s="10"/>
      <c r="G31" s="10"/>
      <c r="H31" s="8"/>
      <c r="I31" s="10"/>
      <c r="J31" s="10"/>
      <c r="K31" s="10"/>
      <c r="L31" s="10"/>
      <c r="M31" s="10"/>
      <c r="N31" s="11"/>
      <c r="O31" s="12"/>
    </row>
    <row r="32" spans="1:15" s="1" customFormat="1" x14ac:dyDescent="0.25">
      <c r="A32" s="2" t="s">
        <v>270</v>
      </c>
      <c r="B32" s="3">
        <f t="shared" ref="B32:M32" si="2">B28+(B30*1.5)+(B29*0.8)</f>
        <v>36</v>
      </c>
      <c r="C32" s="3">
        <f t="shared" si="2"/>
        <v>37</v>
      </c>
      <c r="D32" s="3">
        <f t="shared" si="2"/>
        <v>37</v>
      </c>
      <c r="E32" s="3">
        <f t="shared" si="2"/>
        <v>38</v>
      </c>
      <c r="F32" s="3">
        <f t="shared" si="2"/>
        <v>38</v>
      </c>
      <c r="G32" s="3">
        <f t="shared" si="2"/>
        <v>38</v>
      </c>
      <c r="H32" s="3">
        <f t="shared" si="2"/>
        <v>38</v>
      </c>
      <c r="I32" s="3">
        <f t="shared" si="2"/>
        <v>39</v>
      </c>
      <c r="J32" s="3">
        <f t="shared" si="2"/>
        <v>40</v>
      </c>
      <c r="K32" s="3">
        <f t="shared" si="2"/>
        <v>40</v>
      </c>
      <c r="L32" s="3">
        <f t="shared" si="2"/>
        <v>40</v>
      </c>
      <c r="M32" s="3">
        <f t="shared" si="2"/>
        <v>40</v>
      </c>
      <c r="N32" s="9">
        <f>SUM(B32:M32)/12</f>
        <v>38.416666666666664</v>
      </c>
    </row>
    <row r="33" spans="1:15" s="1" customFormat="1" x14ac:dyDescent="0.25">
      <c r="A33" s="13" t="s">
        <v>19</v>
      </c>
      <c r="B33" s="14"/>
      <c r="C33" s="15">
        <v>1</v>
      </c>
      <c r="D33" s="15"/>
      <c r="E33" s="15">
        <v>1</v>
      </c>
      <c r="F33" s="15"/>
      <c r="G33" s="15"/>
      <c r="H33" s="15"/>
      <c r="I33" s="15">
        <v>1</v>
      </c>
      <c r="J33" s="15">
        <v>1</v>
      </c>
      <c r="K33" s="15"/>
      <c r="L33" s="15"/>
      <c r="M33" s="15"/>
      <c r="N33" s="16">
        <f>SUM(B33:M33)</f>
        <v>4</v>
      </c>
      <c r="O33" s="15"/>
    </row>
    <row r="34" spans="1:15" x14ac:dyDescent="0.25">
      <c r="B34" s="43" t="s">
        <v>276</v>
      </c>
      <c r="L34" s="240" t="s">
        <v>267</v>
      </c>
      <c r="M34" s="85"/>
      <c r="N34" s="85"/>
    </row>
    <row r="36" spans="1:15" x14ac:dyDescent="0.25">
      <c r="A36" s="188" t="s">
        <v>277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2"/>
  <sheetViews>
    <sheetView workbookViewId="0">
      <selection activeCell="G1" sqref="G1"/>
    </sheetView>
  </sheetViews>
  <sheetFormatPr defaultRowHeight="15" x14ac:dyDescent="0.25"/>
  <sheetData>
    <row r="3" spans="1:15" x14ac:dyDescent="0.25">
      <c r="A3" s="35" t="s">
        <v>39</v>
      </c>
      <c r="B3" s="72"/>
      <c r="C3" s="72"/>
      <c r="D3" s="72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x14ac:dyDescent="0.25">
      <c r="A4" s="140"/>
      <c r="B4" s="141" t="s">
        <v>2</v>
      </c>
      <c r="C4" s="141" t="s">
        <v>3</v>
      </c>
      <c r="D4" s="141" t="s">
        <v>4</v>
      </c>
      <c r="E4" s="141" t="s">
        <v>5</v>
      </c>
      <c r="F4" s="141" t="s">
        <v>6</v>
      </c>
      <c r="G4" s="141" t="s">
        <v>7</v>
      </c>
      <c r="H4" s="141" t="s">
        <v>8</v>
      </c>
      <c r="I4" s="141" t="s">
        <v>9</v>
      </c>
      <c r="J4" s="141" t="s">
        <v>10</v>
      </c>
      <c r="K4" s="141" t="s">
        <v>11</v>
      </c>
      <c r="L4" s="141" t="s">
        <v>12</v>
      </c>
      <c r="M4" s="141" t="s">
        <v>13</v>
      </c>
      <c r="N4" s="142" t="s">
        <v>14</v>
      </c>
      <c r="O4" s="77"/>
    </row>
    <row r="5" spans="1:15" x14ac:dyDescent="0.2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77"/>
    </row>
    <row r="6" spans="1:15" x14ac:dyDescent="0.25">
      <c r="A6" s="142" t="s">
        <v>15</v>
      </c>
      <c r="B6" s="28">
        <v>53</v>
      </c>
      <c r="C6" s="54">
        <v>59</v>
      </c>
      <c r="D6" s="54">
        <v>59</v>
      </c>
      <c r="E6" s="54">
        <v>63</v>
      </c>
      <c r="F6" s="54">
        <v>64</v>
      </c>
      <c r="G6" s="215">
        <v>64</v>
      </c>
      <c r="H6" s="54">
        <f>64+1</f>
        <v>65</v>
      </c>
      <c r="I6" s="54">
        <f>65+2+2-2</f>
        <v>67</v>
      </c>
      <c r="J6" s="54">
        <f>67+2</f>
        <v>69</v>
      </c>
      <c r="K6" s="54">
        <f>69+2</f>
        <v>71</v>
      </c>
      <c r="L6" s="37">
        <v>71</v>
      </c>
      <c r="M6" s="3">
        <f>71+2-1</f>
        <v>72</v>
      </c>
      <c r="N6" s="7">
        <f>SUM(B6:M6)/12</f>
        <v>64.75</v>
      </c>
      <c r="O6" s="77"/>
    </row>
    <row r="7" spans="1:15" x14ac:dyDescent="0.25">
      <c r="A7" s="142" t="s">
        <v>16</v>
      </c>
      <c r="B7" s="29">
        <v>3</v>
      </c>
      <c r="C7" s="29">
        <v>3</v>
      </c>
      <c r="D7" s="29">
        <v>3</v>
      </c>
      <c r="E7" s="29">
        <v>4</v>
      </c>
      <c r="F7" s="29">
        <v>4</v>
      </c>
      <c r="G7" s="29">
        <v>4</v>
      </c>
      <c r="H7" s="29">
        <v>4</v>
      </c>
      <c r="I7" s="29">
        <v>2</v>
      </c>
      <c r="J7" s="29">
        <v>2</v>
      </c>
      <c r="K7" s="29">
        <v>2</v>
      </c>
      <c r="L7" s="39">
        <v>2</v>
      </c>
      <c r="M7" s="8">
        <v>2</v>
      </c>
      <c r="N7" s="9">
        <f>SUM(B7:M7)/12</f>
        <v>2.9166666666666665</v>
      </c>
      <c r="O7" s="77"/>
    </row>
    <row r="8" spans="1:15" x14ac:dyDescent="0.25">
      <c r="A8" s="142" t="s">
        <v>17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40"/>
      <c r="M8" s="10"/>
      <c r="N8" s="9">
        <f>SUM(B8:M8)/12</f>
        <v>0</v>
      </c>
      <c r="O8" s="77"/>
    </row>
    <row r="9" spans="1:15" x14ac:dyDescent="0.25">
      <c r="A9" s="142"/>
      <c r="B9" s="10"/>
      <c r="C9" s="10"/>
      <c r="D9" s="10"/>
      <c r="E9" s="10"/>
      <c r="F9" s="10"/>
      <c r="G9" s="10"/>
      <c r="H9" s="8"/>
      <c r="I9" s="10"/>
      <c r="J9" s="10"/>
      <c r="K9" s="10"/>
      <c r="L9" s="10"/>
      <c r="M9" s="10"/>
      <c r="N9" s="11"/>
      <c r="O9" s="78"/>
    </row>
    <row r="10" spans="1:15" x14ac:dyDescent="0.25">
      <c r="A10" s="140" t="s">
        <v>18</v>
      </c>
      <c r="B10" s="3">
        <f>B6+(B8*1.5)+(B7*0.8)</f>
        <v>55.4</v>
      </c>
      <c r="C10" s="3">
        <f>C6+(C8*1.5)+(C7*0.8)</f>
        <v>61.4</v>
      </c>
      <c r="D10" s="3">
        <f>D6+(D8*1.5)+(D7*0.8)</f>
        <v>61.4</v>
      </c>
      <c r="E10" s="3">
        <f>E6+(E8*1.5)+(E7*0.8)</f>
        <v>66.2</v>
      </c>
      <c r="F10" s="3">
        <f>F6+(F8*1.5)+(F7*0.8)</f>
        <v>67.2</v>
      </c>
      <c r="G10" s="3">
        <f t="shared" ref="G10:M10" si="0">G6+(G8*1.5)+(G7*0.8)</f>
        <v>67.2</v>
      </c>
      <c r="H10" s="3">
        <f t="shared" si="0"/>
        <v>68.2</v>
      </c>
      <c r="I10" s="3">
        <f t="shared" si="0"/>
        <v>68.599999999999994</v>
      </c>
      <c r="J10" s="3">
        <f t="shared" si="0"/>
        <v>70.599999999999994</v>
      </c>
      <c r="K10" s="3">
        <f t="shared" si="0"/>
        <v>72.599999999999994</v>
      </c>
      <c r="L10" s="3">
        <f t="shared" si="0"/>
        <v>72.599999999999994</v>
      </c>
      <c r="M10" s="3">
        <f t="shared" si="0"/>
        <v>73.599999999999994</v>
      </c>
      <c r="N10" s="9">
        <f>SUM(B10:M10)/12</f>
        <v>67.083333333333329</v>
      </c>
      <c r="O10" s="77"/>
    </row>
    <row r="11" spans="1:15" x14ac:dyDescent="0.25">
      <c r="A11" s="81" t="s">
        <v>19</v>
      </c>
      <c r="B11" s="80">
        <v>2</v>
      </c>
      <c r="C11" s="79">
        <v>6</v>
      </c>
      <c r="D11" s="79">
        <v>0</v>
      </c>
      <c r="E11" s="79">
        <v>5</v>
      </c>
      <c r="F11" s="79">
        <v>1</v>
      </c>
      <c r="G11" s="79">
        <v>0</v>
      </c>
      <c r="H11" s="79">
        <v>1</v>
      </c>
      <c r="I11" s="79">
        <v>2</v>
      </c>
      <c r="J11" s="79">
        <v>2</v>
      </c>
      <c r="K11" s="79">
        <v>2</v>
      </c>
      <c r="L11" s="79">
        <v>0</v>
      </c>
      <c r="M11" s="79">
        <v>2</v>
      </c>
      <c r="N11" s="82">
        <f>SUM(B11:M11)</f>
        <v>23</v>
      </c>
      <c r="O11" s="77"/>
    </row>
    <row r="12" spans="1:15" x14ac:dyDescent="0.25">
      <c r="H12" s="43" t="s">
        <v>221</v>
      </c>
      <c r="I12" s="50" t="s">
        <v>211</v>
      </c>
      <c r="M12" s="43" t="s">
        <v>279</v>
      </c>
    </row>
    <row r="13" spans="1:15" x14ac:dyDescent="0.25">
      <c r="I13" s="50" t="s">
        <v>210</v>
      </c>
    </row>
    <row r="16" spans="1:15" x14ac:dyDescent="0.25">
      <c r="A16" s="229" t="s">
        <v>282</v>
      </c>
      <c r="B16" s="229"/>
      <c r="C16" s="229"/>
      <c r="D16" s="229"/>
    </row>
    <row r="17" spans="1:15" s="1" customFormat="1" x14ac:dyDescent="0.25">
      <c r="A17" s="2"/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  <c r="G17" s="3" t="s">
        <v>7</v>
      </c>
      <c r="H17" s="3" t="s">
        <v>8</v>
      </c>
      <c r="I17" s="3" t="s">
        <v>9</v>
      </c>
      <c r="J17" s="3" t="s">
        <v>10</v>
      </c>
      <c r="K17" s="3" t="s">
        <v>11</v>
      </c>
      <c r="L17" s="3" t="s">
        <v>12</v>
      </c>
      <c r="M17" s="3" t="s">
        <v>13</v>
      </c>
      <c r="N17" s="4" t="s">
        <v>14</v>
      </c>
    </row>
    <row r="18" spans="1:15" s="1" customForma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5" s="1" customFormat="1" x14ac:dyDescent="0.25">
      <c r="A19" s="4" t="s">
        <v>15</v>
      </c>
      <c r="B19" s="5">
        <f>72-17+2</f>
        <v>57</v>
      </c>
      <c r="C19" s="3">
        <f>57+1+2</f>
        <v>60</v>
      </c>
      <c r="D19" s="3">
        <v>61</v>
      </c>
      <c r="E19" s="3">
        <v>61</v>
      </c>
      <c r="F19" s="3">
        <v>61</v>
      </c>
      <c r="G19" s="6">
        <v>61</v>
      </c>
      <c r="H19" s="3">
        <v>62</v>
      </c>
      <c r="I19" s="3">
        <v>62</v>
      </c>
      <c r="J19" s="3">
        <v>64</v>
      </c>
      <c r="K19" s="3">
        <v>65</v>
      </c>
      <c r="L19" s="3">
        <v>66</v>
      </c>
      <c r="M19" s="3">
        <v>68</v>
      </c>
      <c r="N19" s="7">
        <f>SUM(B19:M19)/12</f>
        <v>62.333333333333336</v>
      </c>
    </row>
    <row r="20" spans="1:15" s="1" customFormat="1" x14ac:dyDescent="0.25">
      <c r="A20" s="4" t="s">
        <v>16</v>
      </c>
      <c r="B20" s="8">
        <f>2-1</f>
        <v>1</v>
      </c>
      <c r="C20" s="8">
        <v>1</v>
      </c>
      <c r="D20" s="8">
        <v>1</v>
      </c>
      <c r="E20" s="8">
        <v>1</v>
      </c>
      <c r="F20" s="8">
        <v>1</v>
      </c>
      <c r="G20" s="8">
        <v>1</v>
      </c>
      <c r="H20" s="8">
        <v>1</v>
      </c>
      <c r="I20" s="8">
        <v>1</v>
      </c>
      <c r="J20" s="8"/>
      <c r="K20" s="8">
        <v>1</v>
      </c>
      <c r="L20" s="8">
        <v>1</v>
      </c>
      <c r="M20" s="8">
        <v>1</v>
      </c>
      <c r="N20" s="9">
        <f>SUM(B20:M20)/12</f>
        <v>0.91666666666666663</v>
      </c>
    </row>
    <row r="21" spans="1:15" s="1" customFormat="1" x14ac:dyDescent="0.25">
      <c r="A21" s="4" t="s">
        <v>17</v>
      </c>
      <c r="B21" s="10">
        <v>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9">
        <f>SUM(B21:M21)/12</f>
        <v>8.3333333333333329E-2</v>
      </c>
    </row>
    <row r="22" spans="1:15" s="1" customFormat="1" x14ac:dyDescent="0.25">
      <c r="A22" s="4"/>
      <c r="B22" s="10"/>
      <c r="C22" s="10"/>
      <c r="D22" s="10"/>
      <c r="E22" s="10"/>
      <c r="F22" s="10"/>
      <c r="G22" s="10"/>
      <c r="H22" s="8"/>
      <c r="I22" s="10"/>
      <c r="J22" s="10"/>
      <c r="K22" s="10"/>
      <c r="L22" s="10"/>
      <c r="M22" s="10"/>
      <c r="N22" s="11"/>
      <c r="O22" s="12"/>
    </row>
    <row r="23" spans="1:15" s="1" customFormat="1" x14ac:dyDescent="0.25">
      <c r="A23" s="2" t="s">
        <v>51</v>
      </c>
      <c r="B23" s="3">
        <f>B19+(B21*1.5)+(B20*0.8)</f>
        <v>59.3</v>
      </c>
      <c r="C23" s="3">
        <f>C19+(C21*1.5)+(C20*0.8)</f>
        <v>60.8</v>
      </c>
      <c r="D23" s="3">
        <f>D19+(D21*1.5)+(D20*0.8)</f>
        <v>61.8</v>
      </c>
      <c r="E23" s="3">
        <f>E19+(E21*1.5)+(E20*0.8)</f>
        <v>61.8</v>
      </c>
      <c r="F23" s="3">
        <f>F19+(F21*1.5)+(F20*0.8)</f>
        <v>61.8</v>
      </c>
      <c r="G23" s="3">
        <f t="shared" ref="G23:M23" si="1">G19+(G21*1.5)+(G20*0.8)</f>
        <v>61.8</v>
      </c>
      <c r="H23" s="3">
        <f t="shared" si="1"/>
        <v>62.8</v>
      </c>
      <c r="I23" s="3">
        <f t="shared" si="1"/>
        <v>62.8</v>
      </c>
      <c r="J23" s="3">
        <f t="shared" si="1"/>
        <v>64</v>
      </c>
      <c r="K23" s="3">
        <f t="shared" si="1"/>
        <v>65.8</v>
      </c>
      <c r="L23" s="3">
        <f t="shared" si="1"/>
        <v>66.8</v>
      </c>
      <c r="M23" s="3">
        <f t="shared" si="1"/>
        <v>68.8</v>
      </c>
      <c r="N23" s="9">
        <f>SUM(B23:M23)/12</f>
        <v>63.191666666666663</v>
      </c>
    </row>
    <row r="24" spans="1:15" s="1" customFormat="1" x14ac:dyDescent="0.25">
      <c r="A24" s="13" t="s">
        <v>19</v>
      </c>
      <c r="B24" s="14">
        <v>3</v>
      </c>
      <c r="C24" s="15">
        <v>2</v>
      </c>
      <c r="D24" s="15">
        <v>1</v>
      </c>
      <c r="E24" s="15">
        <v>0</v>
      </c>
      <c r="F24" s="15">
        <v>0</v>
      </c>
      <c r="G24" s="15">
        <v>0</v>
      </c>
      <c r="H24" s="15">
        <v>1</v>
      </c>
      <c r="I24" s="15">
        <v>0</v>
      </c>
      <c r="J24" s="15">
        <v>2</v>
      </c>
      <c r="K24" s="15">
        <v>1</v>
      </c>
      <c r="L24" s="15">
        <v>1</v>
      </c>
      <c r="M24" s="15">
        <v>2</v>
      </c>
      <c r="N24" s="16">
        <f>SUM(B24:M24)</f>
        <v>13</v>
      </c>
      <c r="O24" s="15"/>
    </row>
    <row r="25" spans="1:15" x14ac:dyDescent="0.25">
      <c r="B25">
        <v>-70911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5" x14ac:dyDescent="0.25">
      <c r="B26" s="43" t="s">
        <v>21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5" x14ac:dyDescent="0.25">
      <c r="B27" s="43" t="s">
        <v>57</v>
      </c>
    </row>
    <row r="29" spans="1:15" x14ac:dyDescent="0.25">
      <c r="A29" s="221" t="s">
        <v>280</v>
      </c>
      <c r="B29" s="221"/>
      <c r="C29" s="221"/>
      <c r="D29" s="221"/>
    </row>
    <row r="30" spans="1:15" s="1" customFormat="1" x14ac:dyDescent="0.25">
      <c r="A30" s="2"/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 t="s">
        <v>7</v>
      </c>
      <c r="H30" s="3" t="s">
        <v>8</v>
      </c>
      <c r="I30" s="3" t="s">
        <v>9</v>
      </c>
      <c r="J30" s="3" t="s">
        <v>10</v>
      </c>
      <c r="K30" s="3" t="s">
        <v>11</v>
      </c>
      <c r="L30" s="3" t="s">
        <v>12</v>
      </c>
      <c r="M30" s="3" t="s">
        <v>13</v>
      </c>
      <c r="N30" s="4" t="s">
        <v>14</v>
      </c>
    </row>
    <row r="31" spans="1:15" s="1" customForma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5" s="1" customFormat="1" x14ac:dyDescent="0.25">
      <c r="A32" s="4" t="s">
        <v>15</v>
      </c>
      <c r="B32" s="5">
        <f>68-24</f>
        <v>44</v>
      </c>
      <c r="C32" s="3">
        <v>47</v>
      </c>
      <c r="D32" s="3">
        <v>47</v>
      </c>
      <c r="E32" s="3">
        <v>48</v>
      </c>
      <c r="F32" s="3">
        <v>52</v>
      </c>
      <c r="G32" s="6">
        <v>54</v>
      </c>
      <c r="H32" s="3">
        <v>54</v>
      </c>
      <c r="I32" s="3">
        <v>56</v>
      </c>
      <c r="J32" s="3">
        <v>56</v>
      </c>
      <c r="K32" s="3">
        <v>59</v>
      </c>
      <c r="L32" s="3">
        <v>63</v>
      </c>
      <c r="M32" s="3">
        <v>64</v>
      </c>
      <c r="N32" s="7">
        <f>SUM(B32:M32)/12</f>
        <v>53.666666666666664</v>
      </c>
    </row>
    <row r="33" spans="1:15" s="1" customFormat="1" x14ac:dyDescent="0.25">
      <c r="A33" s="4" t="s">
        <v>16</v>
      </c>
      <c r="B33" s="8">
        <f>1-1</f>
        <v>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>
        <f>SUM(B33:M33)/12</f>
        <v>0</v>
      </c>
    </row>
    <row r="34" spans="1:15" s="1" customFormat="1" x14ac:dyDescent="0.25">
      <c r="A34" s="4" t="s">
        <v>17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9">
        <f>SUM(B34:M34)/12</f>
        <v>0</v>
      </c>
    </row>
    <row r="35" spans="1:15" s="1" customFormat="1" x14ac:dyDescent="0.25">
      <c r="A35" s="4"/>
      <c r="B35" s="10"/>
      <c r="C35" s="10"/>
      <c r="D35" s="10"/>
      <c r="E35" s="10"/>
      <c r="F35" s="10"/>
      <c r="G35" s="10"/>
      <c r="H35" s="8"/>
      <c r="I35" s="10"/>
      <c r="J35" s="10"/>
      <c r="K35" s="10"/>
      <c r="L35" s="10"/>
      <c r="M35" s="10"/>
      <c r="N35" s="11"/>
      <c r="O35" s="12"/>
    </row>
    <row r="36" spans="1:15" s="1" customFormat="1" x14ac:dyDescent="0.25">
      <c r="A36" s="2" t="s">
        <v>269</v>
      </c>
      <c r="B36" s="3">
        <f>B32+(B34*1.5)+(B33*0.8)</f>
        <v>44</v>
      </c>
      <c r="C36" s="3">
        <f>C32+(C34*1.5)+(C33*0.8)</f>
        <v>47</v>
      </c>
      <c r="D36" s="3">
        <f>D32+(D34*1.5)+(D33*0.8)</f>
        <v>47</v>
      </c>
      <c r="E36" s="3">
        <f>E32+(E34*1.5)+(E33*0.8)</f>
        <v>48</v>
      </c>
      <c r="F36" s="3">
        <f>F32+(F34*1.5)+(F33*0.8)</f>
        <v>52</v>
      </c>
      <c r="G36" s="3">
        <f t="shared" ref="G36:M36" si="2">G32+(G34*1.5)+(G33*0.8)</f>
        <v>54</v>
      </c>
      <c r="H36" s="3">
        <f t="shared" si="2"/>
        <v>54</v>
      </c>
      <c r="I36" s="3">
        <f t="shared" si="2"/>
        <v>56</v>
      </c>
      <c r="J36" s="3">
        <f t="shared" si="2"/>
        <v>56</v>
      </c>
      <c r="K36" s="3">
        <f t="shared" si="2"/>
        <v>59</v>
      </c>
      <c r="L36" s="3">
        <f t="shared" si="2"/>
        <v>63</v>
      </c>
      <c r="M36" s="3">
        <f t="shared" si="2"/>
        <v>64</v>
      </c>
      <c r="N36" s="9">
        <f>SUM(B36:M36)/12</f>
        <v>53.666666666666664</v>
      </c>
    </row>
    <row r="37" spans="1:15" s="1" customFormat="1" x14ac:dyDescent="0.25">
      <c r="A37" s="13" t="s">
        <v>19</v>
      </c>
      <c r="B37" s="14">
        <v>2</v>
      </c>
      <c r="C37" s="15">
        <v>3</v>
      </c>
      <c r="D37" s="15">
        <v>0</v>
      </c>
      <c r="E37" s="15">
        <v>1</v>
      </c>
      <c r="F37" s="15">
        <v>4</v>
      </c>
      <c r="G37" s="15">
        <v>2</v>
      </c>
      <c r="H37" s="15">
        <v>0</v>
      </c>
      <c r="I37" s="15">
        <v>2</v>
      </c>
      <c r="J37" s="15">
        <v>0</v>
      </c>
      <c r="K37" s="15">
        <v>3</v>
      </c>
      <c r="L37" s="15">
        <v>4</v>
      </c>
      <c r="M37" s="15">
        <v>1</v>
      </c>
      <c r="N37" s="16">
        <f>SUM(B37:M37)</f>
        <v>22</v>
      </c>
      <c r="O37" s="15"/>
    </row>
    <row r="38" spans="1:15" x14ac:dyDescent="0.25">
      <c r="B38" s="43" t="s">
        <v>72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5" x14ac:dyDescent="0.25">
      <c r="B39" s="43" t="s">
        <v>57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2" spans="1:15" x14ac:dyDescent="0.25">
      <c r="A42" s="189" t="s">
        <v>281</v>
      </c>
      <c r="B42" s="189"/>
      <c r="C42" s="189"/>
      <c r="D42" s="189"/>
    </row>
    <row r="43" spans="1:15" s="1" customFormat="1" x14ac:dyDescent="0.25">
      <c r="A43" s="2"/>
      <c r="B43" s="3" t="s">
        <v>2</v>
      </c>
      <c r="C43" s="3" t="s">
        <v>3</v>
      </c>
      <c r="D43" s="3" t="s">
        <v>4</v>
      </c>
      <c r="E43" s="3" t="s">
        <v>5</v>
      </c>
      <c r="F43" s="3" t="s">
        <v>6</v>
      </c>
      <c r="G43" s="3" t="s">
        <v>7</v>
      </c>
      <c r="H43" s="3" t="s">
        <v>8</v>
      </c>
      <c r="I43" s="3" t="s">
        <v>9</v>
      </c>
      <c r="J43" s="3" t="s">
        <v>10</v>
      </c>
      <c r="K43" s="3" t="s">
        <v>11</v>
      </c>
      <c r="L43" s="3" t="s">
        <v>12</v>
      </c>
      <c r="M43" s="3" t="s">
        <v>13</v>
      </c>
      <c r="N43" s="4" t="s">
        <v>14</v>
      </c>
    </row>
    <row r="44" spans="1:15" s="1" customForma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5" s="1" customFormat="1" x14ac:dyDescent="0.25">
      <c r="A45" s="4" t="s">
        <v>15</v>
      </c>
      <c r="B45" s="5">
        <f>64-25</f>
        <v>39</v>
      </c>
      <c r="C45" s="3">
        <f>39+6</f>
        <v>45</v>
      </c>
      <c r="D45" s="3">
        <v>45</v>
      </c>
      <c r="E45" s="3">
        <v>46</v>
      </c>
      <c r="F45" s="3">
        <v>46</v>
      </c>
      <c r="G45" s="6">
        <v>46</v>
      </c>
      <c r="H45" s="3">
        <v>47</v>
      </c>
      <c r="I45" s="3">
        <v>48</v>
      </c>
      <c r="J45" s="3">
        <v>49</v>
      </c>
      <c r="K45" s="3">
        <v>50</v>
      </c>
      <c r="L45" s="3">
        <v>51</v>
      </c>
      <c r="M45" s="3">
        <v>51</v>
      </c>
      <c r="N45" s="7">
        <f>SUM(B45:M45)/12</f>
        <v>46.916666666666664</v>
      </c>
    </row>
    <row r="46" spans="1:15" s="1" customFormat="1" x14ac:dyDescent="0.25">
      <c r="A46" s="4" t="s">
        <v>16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>
        <f>SUM(B46:M46)/12</f>
        <v>0</v>
      </c>
    </row>
    <row r="47" spans="1:15" s="1" customFormat="1" x14ac:dyDescent="0.25">
      <c r="A47" s="4" t="s">
        <v>17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9">
        <f>SUM(B47:M47)/12</f>
        <v>0</v>
      </c>
    </row>
    <row r="48" spans="1:15" s="1" customFormat="1" x14ac:dyDescent="0.25">
      <c r="A48" s="4"/>
      <c r="B48" s="10"/>
      <c r="C48" s="10"/>
      <c r="D48" s="10"/>
      <c r="E48" s="10"/>
      <c r="F48" s="10"/>
      <c r="G48" s="10"/>
      <c r="H48" s="8"/>
      <c r="I48" s="10"/>
      <c r="J48" s="10"/>
      <c r="K48" s="10"/>
      <c r="L48" s="10"/>
      <c r="M48" s="10"/>
      <c r="N48" s="11"/>
      <c r="O48" s="12"/>
    </row>
    <row r="49" spans="1:15" s="1" customFormat="1" x14ac:dyDescent="0.25">
      <c r="A49" s="2" t="s">
        <v>269</v>
      </c>
      <c r="B49" s="3">
        <f>B45+(B47*1.5)+(B46*0.8)</f>
        <v>39</v>
      </c>
      <c r="C49" s="3">
        <f>C45+(C47*1.5)+(C46*0.8)</f>
        <v>45</v>
      </c>
      <c r="D49" s="3">
        <f>D45+(D47*1.5)+(D46*0.8)</f>
        <v>45</v>
      </c>
      <c r="E49" s="3">
        <f>E45+(E47*1.5)+(E46*0.8)</f>
        <v>46</v>
      </c>
      <c r="F49" s="3">
        <f>F45+(F47*1.5)+(F46*0.8)</f>
        <v>46</v>
      </c>
      <c r="G49" s="3">
        <f t="shared" ref="G49:M49" si="3">G45+(G47*1.5)+(G46*0.8)</f>
        <v>46</v>
      </c>
      <c r="H49" s="3">
        <f t="shared" si="3"/>
        <v>47</v>
      </c>
      <c r="I49" s="3">
        <f t="shared" si="3"/>
        <v>48</v>
      </c>
      <c r="J49" s="3">
        <f t="shared" si="3"/>
        <v>49</v>
      </c>
      <c r="K49" s="3">
        <f t="shared" si="3"/>
        <v>50</v>
      </c>
      <c r="L49" s="3">
        <f t="shared" si="3"/>
        <v>51</v>
      </c>
      <c r="M49" s="3">
        <f t="shared" si="3"/>
        <v>51</v>
      </c>
      <c r="N49" s="9">
        <f>SUM(B49:M49)/12</f>
        <v>46.916666666666664</v>
      </c>
    </row>
    <row r="50" spans="1:15" s="1" customFormat="1" x14ac:dyDescent="0.25">
      <c r="A50" s="13" t="s">
        <v>19</v>
      </c>
      <c r="B50" s="14">
        <v>0</v>
      </c>
      <c r="C50" s="15">
        <v>6</v>
      </c>
      <c r="D50" s="15">
        <v>0</v>
      </c>
      <c r="E50" s="15">
        <v>1</v>
      </c>
      <c r="F50" s="15">
        <v>0</v>
      </c>
      <c r="G50" s="15">
        <v>0</v>
      </c>
      <c r="H50" s="15">
        <v>1</v>
      </c>
      <c r="I50" s="15">
        <v>1</v>
      </c>
      <c r="J50" s="15">
        <v>1</v>
      </c>
      <c r="K50" s="15">
        <v>1</v>
      </c>
      <c r="L50" s="15">
        <v>1</v>
      </c>
      <c r="M50" s="15"/>
      <c r="N50" s="16">
        <f>SUM(B50:M50)</f>
        <v>12</v>
      </c>
      <c r="O50" s="15"/>
    </row>
    <row r="51" spans="1:15" x14ac:dyDescent="0.25">
      <c r="B51" s="43" t="s">
        <v>72</v>
      </c>
      <c r="C51" s="43"/>
      <c r="D51" s="43"/>
      <c r="E51" s="43"/>
      <c r="F51" s="43"/>
      <c r="G51" s="43"/>
      <c r="H51" s="43"/>
      <c r="I51" s="43"/>
      <c r="J51" s="43"/>
      <c r="K51" s="43"/>
      <c r="L51" s="240" t="s">
        <v>267</v>
      </c>
      <c r="M51" s="85"/>
      <c r="N51" s="85"/>
    </row>
    <row r="52" spans="1:15" x14ac:dyDescent="0.2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workbookViewId="0">
      <selection activeCell="B5" sqref="B5:M5"/>
    </sheetView>
  </sheetViews>
  <sheetFormatPr defaultRowHeight="15" x14ac:dyDescent="0.25"/>
  <sheetData>
    <row r="1" spans="1:21" x14ac:dyDescent="0.25">
      <c r="A1" s="34" t="s">
        <v>25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21" x14ac:dyDescent="0.25">
      <c r="A2" s="255" t="s">
        <v>309</v>
      </c>
      <c r="B2" s="288"/>
      <c r="C2" s="288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21" x14ac:dyDescent="0.25">
      <c r="A3" s="24" t="s">
        <v>20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5" t="s">
        <v>9</v>
      </c>
      <c r="J3" s="25" t="s">
        <v>10</v>
      </c>
      <c r="K3" s="25" t="s">
        <v>11</v>
      </c>
      <c r="L3" s="25" t="s">
        <v>12</v>
      </c>
      <c r="M3" s="25" t="s">
        <v>13</v>
      </c>
      <c r="N3" s="26" t="s">
        <v>14</v>
      </c>
    </row>
    <row r="4" spans="1:2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21" x14ac:dyDescent="0.25">
      <c r="A5" s="26" t="s">
        <v>15</v>
      </c>
      <c r="B5" s="276">
        <v>37</v>
      </c>
      <c r="C5" s="277">
        <v>38</v>
      </c>
      <c r="D5" s="277">
        <v>39</v>
      </c>
      <c r="E5" s="277">
        <v>41</v>
      </c>
      <c r="F5" s="277">
        <v>44</v>
      </c>
      <c r="G5" s="278">
        <v>46</v>
      </c>
      <c r="H5" s="37">
        <f>46+3-0.5</f>
        <v>48.5</v>
      </c>
      <c r="I5" s="37">
        <f>48+2</f>
        <v>50</v>
      </c>
      <c r="J5" s="37">
        <v>51</v>
      </c>
      <c r="K5" s="37">
        <v>53</v>
      </c>
      <c r="L5" s="37">
        <v>55</v>
      </c>
      <c r="M5" s="3">
        <v>58</v>
      </c>
      <c r="N5" s="7">
        <f>SUM(B5:M5)/12</f>
        <v>46.708333333333336</v>
      </c>
      <c r="P5" s="57"/>
      <c r="Q5" s="57"/>
      <c r="R5" s="57"/>
      <c r="S5" s="57"/>
      <c r="T5" s="57"/>
      <c r="U5" s="57"/>
    </row>
    <row r="6" spans="1:21" x14ac:dyDescent="0.25">
      <c r="A6" s="26" t="s">
        <v>16</v>
      </c>
      <c r="B6" s="279"/>
      <c r="C6" s="279"/>
      <c r="D6" s="279"/>
      <c r="E6" s="279"/>
      <c r="F6" s="279"/>
      <c r="G6" s="279"/>
      <c r="H6" s="39"/>
      <c r="I6" s="39"/>
      <c r="J6" s="39"/>
      <c r="K6" s="39"/>
      <c r="L6" s="39"/>
      <c r="M6" s="8"/>
      <c r="N6" s="9">
        <f>SUM(B6:M6)/12</f>
        <v>0</v>
      </c>
    </row>
    <row r="7" spans="1:21" x14ac:dyDescent="0.25">
      <c r="A7" s="26" t="s">
        <v>17</v>
      </c>
      <c r="B7" s="280"/>
      <c r="C7" s="280"/>
      <c r="D7" s="280"/>
      <c r="E7" s="280"/>
      <c r="F7" s="280"/>
      <c r="G7" s="280"/>
      <c r="H7" s="40"/>
      <c r="I7" s="40"/>
      <c r="J7" s="40"/>
      <c r="K7" s="40"/>
      <c r="L7" s="40"/>
      <c r="M7" s="10"/>
      <c r="N7" s="9">
        <f>SUM(B7:M7)/12</f>
        <v>0</v>
      </c>
    </row>
    <row r="8" spans="1:21" x14ac:dyDescent="0.25">
      <c r="A8" s="26"/>
      <c r="B8" s="10"/>
      <c r="C8" s="10"/>
      <c r="D8" s="10"/>
      <c r="E8" s="10"/>
      <c r="F8" s="10"/>
      <c r="G8" s="10"/>
      <c r="H8" s="8"/>
      <c r="I8" s="10"/>
      <c r="J8" s="10"/>
      <c r="K8" s="10"/>
      <c r="L8" s="10"/>
      <c r="M8" s="10"/>
      <c r="N8" s="11"/>
    </row>
    <row r="9" spans="1:21" x14ac:dyDescent="0.25">
      <c r="A9" s="24" t="s">
        <v>51</v>
      </c>
      <c r="B9" s="3">
        <f>B5+(B7*1.5)+(B6*0.8)</f>
        <v>37</v>
      </c>
      <c r="C9" s="3">
        <f>C5+(C7*1.5)+(C6*0.8)</f>
        <v>38</v>
      </c>
      <c r="D9" s="3">
        <f>D5+(D7*1.5)+(D6*0.8)</f>
        <v>39</v>
      </c>
      <c r="E9" s="3">
        <f>E5+(E7*1.5)+(E6*0.8)</f>
        <v>41</v>
      </c>
      <c r="F9" s="3">
        <f>F5+(F7*1.5)+(F6*0.8)</f>
        <v>44</v>
      </c>
      <c r="G9" s="3">
        <f t="shared" ref="G9:M9" si="0">G5+(G7*1.5)+(G6*0.8)</f>
        <v>46</v>
      </c>
      <c r="H9" s="3">
        <f t="shared" si="0"/>
        <v>48.5</v>
      </c>
      <c r="I9" s="3">
        <f t="shared" si="0"/>
        <v>50</v>
      </c>
      <c r="J9" s="3">
        <f t="shared" si="0"/>
        <v>51</v>
      </c>
      <c r="K9" s="3">
        <f t="shared" si="0"/>
        <v>53</v>
      </c>
      <c r="L9" s="3">
        <f t="shared" si="0"/>
        <v>55</v>
      </c>
      <c r="M9" s="3">
        <f t="shared" si="0"/>
        <v>58</v>
      </c>
      <c r="N9" s="9">
        <f>SUM(B9:M9)/12</f>
        <v>46.708333333333336</v>
      </c>
    </row>
    <row r="10" spans="1:21" x14ac:dyDescent="0.25">
      <c r="A10" s="42"/>
      <c r="B10" s="43">
        <v>1</v>
      </c>
      <c r="C10" s="43">
        <v>1</v>
      </c>
      <c r="D10" s="43">
        <v>1</v>
      </c>
      <c r="E10" s="43">
        <v>2</v>
      </c>
      <c r="F10" s="43">
        <v>3</v>
      </c>
      <c r="G10" s="43">
        <v>2</v>
      </c>
      <c r="H10" s="43">
        <v>3</v>
      </c>
      <c r="I10" s="43">
        <v>2</v>
      </c>
      <c r="J10" s="43">
        <v>1</v>
      </c>
      <c r="K10" s="43">
        <v>2</v>
      </c>
      <c r="L10" s="43">
        <v>2</v>
      </c>
      <c r="M10" s="43">
        <v>3</v>
      </c>
      <c r="N10" s="44">
        <f>SUM(B10:M10)</f>
        <v>23</v>
      </c>
    </row>
    <row r="11" spans="1:21" x14ac:dyDescent="0.25">
      <c r="A11" s="43"/>
      <c r="B11" s="43"/>
      <c r="C11" s="43"/>
      <c r="D11" s="43"/>
      <c r="E11" s="43"/>
      <c r="F11" s="43"/>
      <c r="H11" s="43" t="s">
        <v>421</v>
      </c>
      <c r="I11" s="168"/>
      <c r="J11" s="168"/>
      <c r="K11" s="168"/>
      <c r="L11" s="168"/>
      <c r="M11" s="168"/>
      <c r="N11" s="43"/>
    </row>
    <row r="12" spans="1:21" x14ac:dyDescent="0.25">
      <c r="D12" s="43"/>
      <c r="G12" s="168"/>
      <c r="H12" s="23"/>
      <c r="I12" s="55"/>
      <c r="J12" s="55"/>
      <c r="K12" s="55"/>
      <c r="L12" s="55"/>
      <c r="M12" s="55"/>
      <c r="N12" s="56"/>
    </row>
    <row r="13" spans="1:21" x14ac:dyDescent="0.25">
      <c r="B13" s="19"/>
    </row>
    <row r="14" spans="1:21" x14ac:dyDescent="0.25">
      <c r="A14" s="221" t="s">
        <v>260</v>
      </c>
      <c r="B14" s="221"/>
      <c r="C14" s="221"/>
      <c r="D14" s="221"/>
    </row>
    <row r="15" spans="1:21" s="1" customFormat="1" x14ac:dyDescent="0.25">
      <c r="A15" s="2" t="s">
        <v>20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4" t="s">
        <v>14</v>
      </c>
    </row>
    <row r="16" spans="1:21" s="1" customForma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5" s="1" customFormat="1" x14ac:dyDescent="0.25">
      <c r="A17" s="4" t="s">
        <v>15</v>
      </c>
      <c r="B17" s="5">
        <f>51-15+1</f>
        <v>37</v>
      </c>
      <c r="C17" s="3">
        <v>38</v>
      </c>
      <c r="D17" s="3">
        <v>40</v>
      </c>
      <c r="E17" s="3">
        <v>43</v>
      </c>
      <c r="F17" s="3">
        <v>45</v>
      </c>
      <c r="G17" s="6">
        <v>49</v>
      </c>
      <c r="H17" s="3">
        <v>52</v>
      </c>
      <c r="I17" s="3">
        <v>53</v>
      </c>
      <c r="J17" s="3">
        <v>53</v>
      </c>
      <c r="K17" s="3">
        <v>56</v>
      </c>
      <c r="L17" s="3">
        <v>58</v>
      </c>
      <c r="M17" s="3">
        <v>61</v>
      </c>
      <c r="N17" s="7">
        <f>SUM(B17:M17)/12</f>
        <v>48.75</v>
      </c>
    </row>
    <row r="18" spans="1:15" s="1" customFormat="1" x14ac:dyDescent="0.25">
      <c r="A18" s="4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>
        <f>SUM(B18:M18)/12</f>
        <v>0</v>
      </c>
    </row>
    <row r="19" spans="1:15" s="1" customFormat="1" x14ac:dyDescent="0.25">
      <c r="A19" s="4" t="s">
        <v>17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9">
        <f>SUM(B19:M19)/12</f>
        <v>0</v>
      </c>
    </row>
    <row r="20" spans="1:15" s="1" customFormat="1" x14ac:dyDescent="0.25">
      <c r="A20" s="4"/>
      <c r="B20" s="10"/>
      <c r="C20" s="10"/>
      <c r="D20" s="10"/>
      <c r="E20" s="10"/>
      <c r="F20" s="10"/>
      <c r="G20" s="10"/>
      <c r="H20" s="8"/>
      <c r="I20" s="10"/>
      <c r="J20" s="10"/>
      <c r="K20" s="10"/>
      <c r="L20" s="10"/>
      <c r="M20" s="10"/>
      <c r="N20" s="11"/>
      <c r="O20" s="12"/>
    </row>
    <row r="21" spans="1:15" s="1" customFormat="1" x14ac:dyDescent="0.25">
      <c r="A21" s="2" t="s">
        <v>51</v>
      </c>
      <c r="B21" s="3">
        <f>B17+(B19*1.5)+(B18*0.8)</f>
        <v>37</v>
      </c>
      <c r="C21" s="3">
        <f>C17+(C19*1.5)+(C18*0.8)</f>
        <v>38</v>
      </c>
      <c r="D21" s="3">
        <f>D17+(D19*1.5)+(D18*0.8)</f>
        <v>40</v>
      </c>
      <c r="E21" s="3">
        <f>E17+(E19*1.5)+(E18*0.8)</f>
        <v>43</v>
      </c>
      <c r="F21" s="3">
        <f>F17+(F19*1.5)+(F18*0.8)</f>
        <v>45</v>
      </c>
      <c r="G21" s="3">
        <f t="shared" ref="G21:M21" si="1">G17+(G19*1.5)+(G18*0.8)</f>
        <v>49</v>
      </c>
      <c r="H21" s="3">
        <f t="shared" si="1"/>
        <v>52</v>
      </c>
      <c r="I21" s="3">
        <f t="shared" si="1"/>
        <v>53</v>
      </c>
      <c r="J21" s="3">
        <f t="shared" si="1"/>
        <v>53</v>
      </c>
      <c r="K21" s="3">
        <f t="shared" si="1"/>
        <v>56</v>
      </c>
      <c r="L21" s="3">
        <f t="shared" si="1"/>
        <v>58</v>
      </c>
      <c r="M21" s="3">
        <f t="shared" si="1"/>
        <v>61</v>
      </c>
      <c r="N21" s="9">
        <f>SUM(B21:M21)/12</f>
        <v>48.75</v>
      </c>
    </row>
    <row r="22" spans="1:15" s="1" customFormat="1" x14ac:dyDescent="0.25">
      <c r="A22" s="13" t="s">
        <v>19</v>
      </c>
      <c r="B22" s="14">
        <v>1</v>
      </c>
      <c r="C22" s="15">
        <v>1</v>
      </c>
      <c r="D22" s="15">
        <v>2</v>
      </c>
      <c r="E22" s="15">
        <v>3</v>
      </c>
      <c r="F22" s="15">
        <v>2</v>
      </c>
      <c r="G22" s="15">
        <v>4</v>
      </c>
      <c r="H22" s="15">
        <v>3</v>
      </c>
      <c r="I22" s="15">
        <v>1</v>
      </c>
      <c r="J22" s="15">
        <v>0</v>
      </c>
      <c r="K22" s="15">
        <v>3</v>
      </c>
      <c r="L22" s="15">
        <v>2</v>
      </c>
      <c r="M22" s="15">
        <v>3</v>
      </c>
      <c r="N22" s="16">
        <f>SUM(B22:M22)</f>
        <v>25</v>
      </c>
      <c r="O22" s="15"/>
    </row>
    <row r="23" spans="1:15" x14ac:dyDescent="0.25">
      <c r="B23" t="s">
        <v>44</v>
      </c>
      <c r="D23" s="85" t="s">
        <v>297</v>
      </c>
      <c r="E23" s="85" t="s">
        <v>298</v>
      </c>
      <c r="F23" s="85"/>
      <c r="G23" s="85" t="s">
        <v>298</v>
      </c>
      <c r="H23" s="85" t="s">
        <v>299</v>
      </c>
      <c r="I23" s="85"/>
      <c r="J23" s="85"/>
      <c r="K23" s="85"/>
      <c r="L23" s="85"/>
      <c r="M23" s="85"/>
      <c r="N23" s="85">
        <v>44.25</v>
      </c>
    </row>
    <row r="24" spans="1:15" x14ac:dyDescent="0.25">
      <c r="B24" s="19" t="s">
        <v>261</v>
      </c>
      <c r="N24" t="s">
        <v>300</v>
      </c>
    </row>
    <row r="25" spans="1:15" x14ac:dyDescent="0.25">
      <c r="B25" s="19"/>
    </row>
    <row r="26" spans="1:15" x14ac:dyDescent="0.25">
      <c r="A26" s="251" t="s">
        <v>375</v>
      </c>
      <c r="B26" s="251"/>
      <c r="C26" s="251"/>
      <c r="D26" s="251"/>
    </row>
    <row r="27" spans="1:15" s="1" customFormat="1" x14ac:dyDescent="0.25">
      <c r="A27" s="2" t="s">
        <v>20</v>
      </c>
      <c r="B27" s="3" t="s">
        <v>2</v>
      </c>
      <c r="C27" s="3" t="s">
        <v>3</v>
      </c>
      <c r="D27" s="3" t="s">
        <v>4</v>
      </c>
      <c r="E27" s="3" t="s">
        <v>5</v>
      </c>
      <c r="F27" s="3" t="s">
        <v>6</v>
      </c>
      <c r="G27" s="3" t="s">
        <v>7</v>
      </c>
      <c r="H27" s="3" t="s">
        <v>8</v>
      </c>
      <c r="I27" s="3" t="s">
        <v>9</v>
      </c>
      <c r="J27" s="3" t="s">
        <v>10</v>
      </c>
      <c r="K27" s="3" t="s">
        <v>11</v>
      </c>
      <c r="L27" s="3" t="s">
        <v>12</v>
      </c>
      <c r="M27" s="3" t="s">
        <v>13</v>
      </c>
      <c r="N27" s="4" t="s">
        <v>14</v>
      </c>
    </row>
    <row r="28" spans="1:15" s="1" customForma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5" s="1" customFormat="1" x14ac:dyDescent="0.25">
      <c r="A29" s="4" t="s">
        <v>15</v>
      </c>
      <c r="B29" s="5">
        <f>58-18</f>
        <v>40</v>
      </c>
      <c r="C29" s="3">
        <v>40</v>
      </c>
      <c r="D29" s="3">
        <v>40</v>
      </c>
      <c r="E29" s="3">
        <v>40</v>
      </c>
      <c r="F29" s="3">
        <v>42</v>
      </c>
      <c r="G29" s="6">
        <v>44</v>
      </c>
      <c r="H29" s="3">
        <v>45</v>
      </c>
      <c r="I29" s="3">
        <v>46</v>
      </c>
      <c r="J29" s="3">
        <v>46</v>
      </c>
      <c r="K29" s="3">
        <v>49</v>
      </c>
      <c r="L29" s="3">
        <v>50</v>
      </c>
      <c r="M29" s="3">
        <v>50</v>
      </c>
      <c r="N29" s="7">
        <f>SUM(B29:M29)/12</f>
        <v>44.333333333333336</v>
      </c>
    </row>
    <row r="30" spans="1:15" s="1" customFormat="1" x14ac:dyDescent="0.25">
      <c r="A30" s="4" t="s">
        <v>16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>
        <f>SUM(B30:M30)/12</f>
        <v>0</v>
      </c>
    </row>
    <row r="31" spans="1:15" s="1" customFormat="1" x14ac:dyDescent="0.25">
      <c r="A31" s="4" t="s">
        <v>17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9">
        <f>SUM(B31:M31)/12</f>
        <v>0</v>
      </c>
    </row>
    <row r="32" spans="1:15" s="1" customFormat="1" x14ac:dyDescent="0.25">
      <c r="A32" s="4"/>
      <c r="B32" s="10"/>
      <c r="C32" s="10"/>
      <c r="D32" s="10"/>
      <c r="E32" s="10"/>
      <c r="F32" s="10"/>
      <c r="G32" s="10"/>
      <c r="H32" s="8"/>
      <c r="I32" s="10"/>
      <c r="J32" s="10"/>
      <c r="K32" s="10"/>
      <c r="L32" s="10"/>
      <c r="M32" s="10"/>
      <c r="N32" s="11"/>
      <c r="O32" s="12"/>
    </row>
    <row r="33" spans="1:15" s="1" customFormat="1" x14ac:dyDescent="0.25">
      <c r="A33" s="2" t="s">
        <v>269</v>
      </c>
      <c r="B33" s="3">
        <f>B29+(B31*1.5)+(B30*0.8)</f>
        <v>40</v>
      </c>
      <c r="C33" s="3">
        <f>C29+(C31*1.5)+(C30*0.8)</f>
        <v>40</v>
      </c>
      <c r="D33" s="3">
        <f>D29+(D31*1.5)+(D30*0.8)</f>
        <v>40</v>
      </c>
      <c r="E33" s="3">
        <f>E29+(E31*1.5)+(E30*0.8)</f>
        <v>40</v>
      </c>
      <c r="F33" s="3">
        <f>F29+(F31*1.5)+(F30*0.8)</f>
        <v>42</v>
      </c>
      <c r="G33" s="3">
        <f t="shared" ref="G33:M33" si="2">G29+(G31*1.5)+(G30*0.8)</f>
        <v>44</v>
      </c>
      <c r="H33" s="3">
        <f t="shared" si="2"/>
        <v>45</v>
      </c>
      <c r="I33" s="3">
        <f t="shared" si="2"/>
        <v>46</v>
      </c>
      <c r="J33" s="3">
        <f t="shared" si="2"/>
        <v>46</v>
      </c>
      <c r="K33" s="3">
        <f t="shared" si="2"/>
        <v>49</v>
      </c>
      <c r="L33" s="3">
        <f t="shared" si="2"/>
        <v>50</v>
      </c>
      <c r="M33" s="3">
        <f t="shared" si="2"/>
        <v>50</v>
      </c>
      <c r="N33" s="9">
        <f>SUM(B33:M33)/12</f>
        <v>44.333333333333336</v>
      </c>
    </row>
    <row r="34" spans="1:15" s="1" customFormat="1" x14ac:dyDescent="0.25">
      <c r="A34" s="13" t="s">
        <v>19</v>
      </c>
      <c r="B34" s="14">
        <v>0</v>
      </c>
      <c r="C34" s="15">
        <v>0</v>
      </c>
      <c r="D34" s="15">
        <v>0</v>
      </c>
      <c r="E34" s="15">
        <v>0</v>
      </c>
      <c r="F34" s="15">
        <v>2</v>
      </c>
      <c r="G34" s="15">
        <v>2</v>
      </c>
      <c r="H34" s="15">
        <v>1</v>
      </c>
      <c r="I34" s="15">
        <v>1</v>
      </c>
      <c r="J34" s="15">
        <v>0</v>
      </c>
      <c r="K34" s="15">
        <v>3</v>
      </c>
      <c r="L34" s="15">
        <v>1</v>
      </c>
      <c r="M34" s="15">
        <v>0</v>
      </c>
      <c r="N34" s="16">
        <f>SUM(B34:M34)</f>
        <v>10</v>
      </c>
      <c r="O34" s="15"/>
    </row>
    <row r="35" spans="1:15" s="1" customFormat="1" x14ac:dyDescent="0.25">
      <c r="A35" s="233"/>
      <c r="B35" s="14" t="s">
        <v>406</v>
      </c>
      <c r="C35" s="15"/>
      <c r="D35" s="15"/>
      <c r="E35" s="15"/>
      <c r="F35" s="15"/>
      <c r="G35" s="15"/>
      <c r="H35" s="15" t="s">
        <v>405</v>
      </c>
      <c r="I35" s="15"/>
      <c r="J35" s="15"/>
      <c r="K35" s="15"/>
      <c r="L35" s="15"/>
      <c r="M35" s="15"/>
      <c r="N35" s="234"/>
      <c r="O35" s="15"/>
    </row>
    <row r="36" spans="1:15" s="1" customFormat="1" x14ac:dyDescent="0.25">
      <c r="A36" s="233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34"/>
      <c r="O36" s="15"/>
    </row>
    <row r="37" spans="1:15" x14ac:dyDescent="0.25">
      <c r="A37" s="229" t="s">
        <v>239</v>
      </c>
      <c r="B37" s="229"/>
      <c r="C37" s="229"/>
      <c r="D37" s="229"/>
    </row>
    <row r="38" spans="1:15" s="1" customFormat="1" x14ac:dyDescent="0.25">
      <c r="A38" s="2" t="s">
        <v>20</v>
      </c>
      <c r="B38" s="3" t="s">
        <v>2</v>
      </c>
      <c r="C38" s="3" t="s">
        <v>3</v>
      </c>
      <c r="D38" s="3" t="s">
        <v>4</v>
      </c>
      <c r="E38" s="3" t="s">
        <v>5</v>
      </c>
      <c r="F38" s="3" t="s">
        <v>6</v>
      </c>
      <c r="G38" s="3" t="s">
        <v>7</v>
      </c>
      <c r="H38" s="3" t="s">
        <v>8</v>
      </c>
      <c r="I38" s="3" t="s">
        <v>9</v>
      </c>
      <c r="J38" s="3" t="s">
        <v>10</v>
      </c>
      <c r="K38" s="3" t="s">
        <v>11</v>
      </c>
      <c r="L38" s="3" t="s">
        <v>12</v>
      </c>
      <c r="M38" s="3" t="s">
        <v>13</v>
      </c>
      <c r="N38" s="4" t="s">
        <v>14</v>
      </c>
    </row>
    <row r="39" spans="1:15" s="1" customForma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5" s="1" customFormat="1" x14ac:dyDescent="0.25">
      <c r="A40" s="4" t="s">
        <v>15</v>
      </c>
      <c r="B40" s="5">
        <f>51-17</f>
        <v>34</v>
      </c>
      <c r="C40" s="3">
        <v>35</v>
      </c>
      <c r="D40" s="3">
        <v>39</v>
      </c>
      <c r="E40" s="3">
        <v>42</v>
      </c>
      <c r="F40" s="3">
        <v>44</v>
      </c>
      <c r="G40" s="6">
        <v>45</v>
      </c>
      <c r="H40" s="3">
        <v>48</v>
      </c>
      <c r="I40" s="3">
        <v>49</v>
      </c>
      <c r="J40" s="3">
        <v>49</v>
      </c>
      <c r="K40" s="3">
        <v>52</v>
      </c>
      <c r="L40" s="3">
        <v>54</v>
      </c>
      <c r="M40" s="3">
        <v>58</v>
      </c>
      <c r="N40" s="7">
        <f>SUM(B40:M40)/12</f>
        <v>45.75</v>
      </c>
    </row>
    <row r="41" spans="1:15" s="1" customFormat="1" x14ac:dyDescent="0.25">
      <c r="A41" s="4" t="s">
        <v>16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>
        <f>SUM(B41:M41)/12</f>
        <v>0</v>
      </c>
    </row>
    <row r="42" spans="1:15" s="1" customFormat="1" x14ac:dyDescent="0.25">
      <c r="A42" s="4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">
        <f>SUM(B42:M42)/12</f>
        <v>0</v>
      </c>
    </row>
    <row r="43" spans="1:15" s="1" customFormat="1" x14ac:dyDescent="0.25">
      <c r="A43" s="4"/>
      <c r="B43" s="10"/>
      <c r="C43" s="10"/>
      <c r="D43" s="10"/>
      <c r="E43" s="10"/>
      <c r="F43" s="10"/>
      <c r="G43" s="10"/>
      <c r="H43" s="8"/>
      <c r="I43" s="10"/>
      <c r="J43" s="10"/>
      <c r="K43" s="10"/>
      <c r="L43" s="10"/>
      <c r="M43" s="10"/>
      <c r="N43" s="11"/>
      <c r="O43" s="12"/>
    </row>
    <row r="44" spans="1:15" s="1" customFormat="1" x14ac:dyDescent="0.25">
      <c r="A44" s="2" t="s">
        <v>51</v>
      </c>
      <c r="B44" s="3">
        <f>B40+(B42*1.5)+(B41*0.8)</f>
        <v>34</v>
      </c>
      <c r="C44" s="3">
        <f>C40+(C42*1.5)+(C41*0.8)</f>
        <v>35</v>
      </c>
      <c r="D44" s="3">
        <f>D40+(D42*1.5)+(D41*0.8)</f>
        <v>39</v>
      </c>
      <c r="E44" s="3">
        <f>E40+(E42*1.5)+(E41*0.8)</f>
        <v>42</v>
      </c>
      <c r="F44" s="3">
        <f>F40+(F42*1.5)+(F41*0.8)</f>
        <v>44</v>
      </c>
      <c r="G44" s="3">
        <f t="shared" ref="G44:M44" si="3">G40+(G42*1.5)+(G41*0.8)</f>
        <v>45</v>
      </c>
      <c r="H44" s="3">
        <f t="shared" si="3"/>
        <v>48</v>
      </c>
      <c r="I44" s="3">
        <f t="shared" si="3"/>
        <v>49</v>
      </c>
      <c r="J44" s="3">
        <f t="shared" si="3"/>
        <v>49</v>
      </c>
      <c r="K44" s="3">
        <f t="shared" si="3"/>
        <v>52</v>
      </c>
      <c r="L44" s="3">
        <f t="shared" si="3"/>
        <v>54</v>
      </c>
      <c r="M44" s="3">
        <f t="shared" si="3"/>
        <v>58</v>
      </c>
      <c r="N44" s="9">
        <f>SUM(B44:M44)/12</f>
        <v>45.75</v>
      </c>
    </row>
    <row r="45" spans="1:15" s="1" customFormat="1" x14ac:dyDescent="0.25">
      <c r="A45" s="13" t="s">
        <v>19</v>
      </c>
      <c r="B45" s="14"/>
      <c r="C45" s="15">
        <v>1</v>
      </c>
      <c r="D45" s="15">
        <v>4</v>
      </c>
      <c r="E45" s="15">
        <v>3</v>
      </c>
      <c r="F45" s="15">
        <v>2</v>
      </c>
      <c r="G45" s="15">
        <v>1</v>
      </c>
      <c r="H45" s="15">
        <v>3</v>
      </c>
      <c r="I45" s="15">
        <v>1</v>
      </c>
      <c r="J45" s="15">
        <v>0</v>
      </c>
      <c r="K45" s="15">
        <v>3</v>
      </c>
      <c r="L45" s="15">
        <v>2</v>
      </c>
      <c r="M45" s="15">
        <v>4</v>
      </c>
      <c r="N45" s="16">
        <f>SUM(B45:M45)</f>
        <v>24</v>
      </c>
      <c r="O45" s="15"/>
    </row>
    <row r="46" spans="1:15" x14ac:dyDescent="0.25">
      <c r="B46" t="s">
        <v>127</v>
      </c>
    </row>
    <row r="47" spans="1:15" x14ac:dyDescent="0.25">
      <c r="A47" s="188"/>
    </row>
    <row r="48" spans="1:15" x14ac:dyDescent="0.25">
      <c r="A48" s="188"/>
    </row>
    <row r="49" spans="1:15" x14ac:dyDescent="0.25">
      <c r="A49" t="s">
        <v>168</v>
      </c>
    </row>
    <row r="50" spans="1:15" ht="14.25" customHeight="1" x14ac:dyDescent="0.25">
      <c r="A50" t="s">
        <v>169</v>
      </c>
    </row>
    <row r="51" spans="1:15" x14ac:dyDescent="0.25">
      <c r="A51" t="s">
        <v>258</v>
      </c>
      <c r="L51" s="85"/>
      <c r="M51" s="85"/>
      <c r="N51" s="85"/>
    </row>
    <row r="52" spans="1:15" x14ac:dyDescent="0.25">
      <c r="A52" t="s">
        <v>257</v>
      </c>
    </row>
    <row r="53" spans="1:15" s="1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1" customFormat="1" x14ac:dyDescent="0.25">
      <c r="A54" s="189" t="s">
        <v>126</v>
      </c>
      <c r="B54" s="189"/>
      <c r="C54" s="189"/>
      <c r="D54" s="189"/>
      <c r="E54"/>
      <c r="F54"/>
      <c r="G54"/>
      <c r="H54"/>
      <c r="I54"/>
      <c r="J54"/>
      <c r="K54"/>
      <c r="L54"/>
      <c r="M54"/>
      <c r="N54"/>
      <c r="O54"/>
    </row>
    <row r="55" spans="1:15" s="1" customFormat="1" x14ac:dyDescent="0.25">
      <c r="A55" s="2" t="s">
        <v>20</v>
      </c>
      <c r="B55" s="3" t="s">
        <v>2</v>
      </c>
      <c r="C55" s="3" t="s">
        <v>3</v>
      </c>
      <c r="D55" s="3" t="s">
        <v>4</v>
      </c>
      <c r="E55" s="3" t="s">
        <v>5</v>
      </c>
      <c r="F55" s="3" t="s">
        <v>6</v>
      </c>
      <c r="G55" s="3" t="s">
        <v>7</v>
      </c>
      <c r="H55" s="3" t="s">
        <v>8</v>
      </c>
      <c r="I55" s="3" t="s">
        <v>9</v>
      </c>
      <c r="J55" s="3" t="s">
        <v>10</v>
      </c>
      <c r="K55" s="3" t="s">
        <v>11</v>
      </c>
      <c r="L55" s="3" t="s">
        <v>12</v>
      </c>
      <c r="M55" s="3" t="s">
        <v>13</v>
      </c>
      <c r="N55" s="4" t="s">
        <v>14</v>
      </c>
    </row>
    <row r="56" spans="1:15" s="1" customForma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5" s="1" customFormat="1" x14ac:dyDescent="0.25">
      <c r="A57" s="4" t="s">
        <v>15</v>
      </c>
      <c r="B57" s="5">
        <f>49-17</f>
        <v>32</v>
      </c>
      <c r="C57" s="3">
        <v>35</v>
      </c>
      <c r="D57" s="3">
        <v>36</v>
      </c>
      <c r="E57" s="3">
        <v>39</v>
      </c>
      <c r="F57" s="3">
        <v>41</v>
      </c>
      <c r="G57" s="6">
        <v>42</v>
      </c>
      <c r="H57" s="3">
        <v>43</v>
      </c>
      <c r="I57" s="3">
        <v>46</v>
      </c>
      <c r="J57" s="3">
        <v>46</v>
      </c>
      <c r="K57" s="3">
        <v>49</v>
      </c>
      <c r="L57" s="3">
        <v>51</v>
      </c>
      <c r="M57" s="3">
        <v>54</v>
      </c>
      <c r="N57" s="7">
        <f>SUM(B57:M57)/12</f>
        <v>42.833333333333336</v>
      </c>
    </row>
    <row r="58" spans="1:15" s="1" customFormat="1" x14ac:dyDescent="0.25">
      <c r="A58" s="4" t="s">
        <v>16</v>
      </c>
      <c r="B58" s="8">
        <f>1-1</f>
        <v>0</v>
      </c>
      <c r="C58" s="8">
        <v>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9">
        <f>SUM(B58:M58)/12</f>
        <v>0</v>
      </c>
    </row>
    <row r="59" spans="1:15" x14ac:dyDescent="0.25">
      <c r="A59" s="4" t="s">
        <v>17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9">
        <f>SUM(B59:M59)/12</f>
        <v>0</v>
      </c>
      <c r="O59" s="1"/>
    </row>
    <row r="60" spans="1:15" x14ac:dyDescent="0.25">
      <c r="A60" s="4"/>
      <c r="B60" s="10"/>
      <c r="C60" s="10"/>
      <c r="D60" s="10"/>
      <c r="E60" s="10"/>
      <c r="F60" s="10"/>
      <c r="G60" s="10"/>
      <c r="H60" s="8"/>
      <c r="I60" s="10"/>
      <c r="J60" s="10"/>
      <c r="K60" s="10"/>
      <c r="L60" s="10"/>
      <c r="M60" s="10"/>
      <c r="N60" s="11"/>
      <c r="O60" s="12"/>
    </row>
    <row r="61" spans="1:15" x14ac:dyDescent="0.25">
      <c r="A61" s="2" t="s">
        <v>51</v>
      </c>
      <c r="B61" s="3">
        <f>B57+(B59*1.5)+(B58*0.8)</f>
        <v>32</v>
      </c>
      <c r="C61" s="3">
        <f>C57+(C59*1.5)+(C58*0.8)</f>
        <v>35</v>
      </c>
      <c r="D61" s="3">
        <f>D57+(D59*1.5)+(D58*0.8)</f>
        <v>36</v>
      </c>
      <c r="E61" s="3">
        <f>E57+(E59*1.5)+(E58*0.8)</f>
        <v>39</v>
      </c>
      <c r="F61" s="3">
        <f>F57+(F59*1.5)+(F58*0.8)</f>
        <v>41</v>
      </c>
      <c r="G61" s="3">
        <f t="shared" ref="G61:M61" si="4">G57+(G59*1.5)+(G58*0.8)</f>
        <v>42</v>
      </c>
      <c r="H61" s="3">
        <f t="shared" si="4"/>
        <v>43</v>
      </c>
      <c r="I61" s="3">
        <f t="shared" si="4"/>
        <v>46</v>
      </c>
      <c r="J61" s="3">
        <f t="shared" si="4"/>
        <v>46</v>
      </c>
      <c r="K61" s="3">
        <f t="shared" si="4"/>
        <v>49</v>
      </c>
      <c r="L61" s="3">
        <f t="shared" si="4"/>
        <v>51</v>
      </c>
      <c r="M61" s="3">
        <f t="shared" si="4"/>
        <v>54</v>
      </c>
      <c r="N61" s="9">
        <f>SUM(B61:M61)/12</f>
        <v>42.833333333333336</v>
      </c>
      <c r="O61" s="1"/>
    </row>
    <row r="62" spans="1:15" x14ac:dyDescent="0.25">
      <c r="A62" s="13" t="s">
        <v>19</v>
      </c>
      <c r="B62" s="14"/>
      <c r="C62" s="15">
        <v>3</v>
      </c>
      <c r="D62" s="15">
        <v>1</v>
      </c>
      <c r="E62" s="15">
        <v>3</v>
      </c>
      <c r="F62" s="15">
        <v>2</v>
      </c>
      <c r="G62" s="15">
        <v>1</v>
      </c>
      <c r="H62" s="15">
        <v>1</v>
      </c>
      <c r="I62" s="15">
        <v>3</v>
      </c>
      <c r="J62" s="15">
        <v>0</v>
      </c>
      <c r="K62" s="15">
        <v>3</v>
      </c>
      <c r="L62" s="15">
        <v>2</v>
      </c>
      <c r="M62" s="15">
        <v>3</v>
      </c>
      <c r="N62" s="16">
        <f>SUM(B62:M62)</f>
        <v>22</v>
      </c>
      <c r="O62" s="15"/>
    </row>
    <row r="63" spans="1:15" x14ac:dyDescent="0.25">
      <c r="B63" t="s">
        <v>127</v>
      </c>
    </row>
    <row r="64" spans="1:15" x14ac:dyDescent="0.25">
      <c r="A64" s="188"/>
    </row>
    <row r="65" spans="1:14" x14ac:dyDescent="0.25">
      <c r="A65" t="s">
        <v>168</v>
      </c>
    </row>
    <row r="66" spans="1:14" x14ac:dyDescent="0.25">
      <c r="A66" t="s">
        <v>169</v>
      </c>
    </row>
    <row r="67" spans="1:14" x14ac:dyDescent="0.25">
      <c r="A67" t="s">
        <v>170</v>
      </c>
      <c r="L67" s="85"/>
      <c r="M67" s="85"/>
    </row>
    <row r="68" spans="1:14" x14ac:dyDescent="0.25">
      <c r="A68" t="s">
        <v>171</v>
      </c>
    </row>
    <row r="70" spans="1:14" x14ac:dyDescent="0.25">
      <c r="D70" s="43"/>
    </row>
    <row r="71" spans="1:14" x14ac:dyDescent="0.25">
      <c r="A71" s="35" t="s">
        <v>39</v>
      </c>
      <c r="B71" s="36"/>
      <c r="C71" s="36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4" x14ac:dyDescent="0.25">
      <c r="A72" s="24" t="s">
        <v>20</v>
      </c>
      <c r="B72" s="25" t="s">
        <v>2</v>
      </c>
      <c r="C72" s="25" t="s">
        <v>3</v>
      </c>
      <c r="D72" s="25" t="s">
        <v>4</v>
      </c>
      <c r="E72" s="25" t="s">
        <v>5</v>
      </c>
      <c r="F72" s="25" t="s">
        <v>6</v>
      </c>
      <c r="G72" s="25" t="s">
        <v>7</v>
      </c>
      <c r="H72" s="25" t="s">
        <v>8</v>
      </c>
      <c r="I72" s="25" t="s">
        <v>9</v>
      </c>
      <c r="J72" s="25" t="s">
        <v>10</v>
      </c>
      <c r="K72" s="25" t="s">
        <v>11</v>
      </c>
      <c r="L72" s="25" t="s">
        <v>12</v>
      </c>
      <c r="M72" s="25" t="s">
        <v>13</v>
      </c>
      <c r="N72" s="26" t="s">
        <v>14</v>
      </c>
    </row>
    <row r="73" spans="1:14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x14ac:dyDescent="0.25">
      <c r="A74" s="26" t="s">
        <v>15</v>
      </c>
      <c r="B74" s="28">
        <v>41</v>
      </c>
      <c r="C74" s="54">
        <f>41+1+0.75</f>
        <v>42.75</v>
      </c>
      <c r="D74" s="37">
        <f>43-1</f>
        <v>42</v>
      </c>
      <c r="E74" s="37">
        <v>46</v>
      </c>
      <c r="F74" s="37">
        <v>47</v>
      </c>
      <c r="G74" s="38">
        <f>47.5</f>
        <v>47.5</v>
      </c>
      <c r="H74" s="37">
        <v>48</v>
      </c>
      <c r="I74" s="37">
        <v>48</v>
      </c>
      <c r="J74" s="37">
        <v>48</v>
      </c>
      <c r="K74" s="37">
        <v>49</v>
      </c>
      <c r="L74" s="37">
        <v>52</v>
      </c>
      <c r="M74" s="3">
        <v>52</v>
      </c>
      <c r="N74" s="7">
        <f>SUM(B74:M74)/12</f>
        <v>46.9375</v>
      </c>
    </row>
    <row r="75" spans="1:14" x14ac:dyDescent="0.25">
      <c r="A75" s="26" t="s">
        <v>16</v>
      </c>
      <c r="B75" s="29"/>
      <c r="C75" s="29"/>
      <c r="D75" s="39"/>
      <c r="E75" s="39"/>
      <c r="F75" s="39"/>
      <c r="G75" s="39"/>
      <c r="H75" s="39"/>
      <c r="I75" s="39"/>
      <c r="J75" s="39"/>
      <c r="K75" s="39"/>
      <c r="L75" s="39"/>
      <c r="M75" s="8"/>
      <c r="N75" s="9">
        <f>SUM(B75:M75)/12</f>
        <v>0</v>
      </c>
    </row>
    <row r="76" spans="1:14" x14ac:dyDescent="0.25">
      <c r="A76" s="26" t="s">
        <v>17</v>
      </c>
      <c r="B76" s="30"/>
      <c r="C76" s="30"/>
      <c r="D76" s="40"/>
      <c r="E76" s="40"/>
      <c r="F76" s="40"/>
      <c r="G76" s="40"/>
      <c r="H76" s="40"/>
      <c r="I76" s="40"/>
      <c r="J76" s="40"/>
      <c r="K76" s="40"/>
      <c r="L76" s="40"/>
      <c r="M76" s="10"/>
      <c r="N76" s="9">
        <f>SUM(B76:M76)/12</f>
        <v>0</v>
      </c>
    </row>
    <row r="77" spans="1:14" x14ac:dyDescent="0.25">
      <c r="A77" s="26"/>
      <c r="B77" s="10"/>
      <c r="C77" s="10"/>
      <c r="D77" s="10"/>
      <c r="E77" s="10"/>
      <c r="F77" s="10"/>
      <c r="G77" s="10"/>
      <c r="H77" s="8"/>
      <c r="I77" s="10"/>
      <c r="J77" s="10"/>
      <c r="K77" s="10"/>
      <c r="L77" s="10"/>
      <c r="M77" s="10"/>
      <c r="N77" s="11"/>
    </row>
    <row r="78" spans="1:14" x14ac:dyDescent="0.25">
      <c r="A78" s="140" t="s">
        <v>18</v>
      </c>
      <c r="B78" s="3">
        <f>B74+(B76*1.5)+(B75*0.8)</f>
        <v>41</v>
      </c>
      <c r="C78" s="3">
        <f>C74+(C76*1.5)+(C75*0.8)</f>
        <v>42.75</v>
      </c>
      <c r="D78" s="3">
        <f>D74+(D76*1.5)+(D75*0.8)</f>
        <v>42</v>
      </c>
      <c r="E78" s="3">
        <f>E74+(E76*1.5)+(E75*0.8)</f>
        <v>46</v>
      </c>
      <c r="F78" s="3">
        <f>F74+(F76*1.5)+(F75*0.8)</f>
        <v>47</v>
      </c>
      <c r="G78" s="3">
        <f t="shared" ref="G78:M78" si="5">G74+(G76*1.5)+(G75*0.8)</f>
        <v>47.5</v>
      </c>
      <c r="H78" s="3">
        <f t="shared" si="5"/>
        <v>48</v>
      </c>
      <c r="I78" s="3">
        <f t="shared" si="5"/>
        <v>48</v>
      </c>
      <c r="J78" s="3">
        <f t="shared" si="5"/>
        <v>48</v>
      </c>
      <c r="K78" s="3">
        <f t="shared" si="5"/>
        <v>49</v>
      </c>
      <c r="L78" s="3">
        <f t="shared" si="5"/>
        <v>52</v>
      </c>
      <c r="M78" s="3">
        <f t="shared" si="5"/>
        <v>52</v>
      </c>
      <c r="N78" s="9">
        <f>SUM(B78:M78)/12</f>
        <v>46.9375</v>
      </c>
    </row>
    <row r="79" spans="1:14" x14ac:dyDescent="0.25">
      <c r="A79" s="42"/>
      <c r="B79" s="43">
        <v>1</v>
      </c>
      <c r="C79" s="43">
        <v>2</v>
      </c>
      <c r="D79" s="43"/>
      <c r="E79" s="43">
        <v>2</v>
      </c>
      <c r="F79" s="43">
        <v>1</v>
      </c>
      <c r="G79" s="43">
        <v>1</v>
      </c>
      <c r="H79" s="43">
        <v>0</v>
      </c>
      <c r="I79" s="43"/>
      <c r="J79" s="43"/>
      <c r="K79" s="43"/>
      <c r="L79" s="43"/>
      <c r="M79" s="43"/>
      <c r="N79" s="44">
        <f>SUM(B79:M79)</f>
        <v>7</v>
      </c>
    </row>
    <row r="80" spans="1:14" x14ac:dyDescent="0.25">
      <c r="A80" s="43"/>
      <c r="B80" s="43"/>
      <c r="C80" s="43" t="s">
        <v>32</v>
      </c>
      <c r="D80" s="43" t="s">
        <v>28</v>
      </c>
      <c r="E80" s="43"/>
      <c r="F80" s="43" t="s">
        <v>106</v>
      </c>
      <c r="G80" s="169" t="s">
        <v>122</v>
      </c>
      <c r="H80" s="53" t="s">
        <v>105</v>
      </c>
      <c r="I80" s="53">
        <v>0</v>
      </c>
      <c r="J80" s="53">
        <v>0</v>
      </c>
      <c r="K80" s="53">
        <v>1</v>
      </c>
      <c r="L80" s="53">
        <v>3</v>
      </c>
      <c r="M80" s="53">
        <v>0</v>
      </c>
      <c r="N80" s="60">
        <f>SUM(G80:M80)</f>
        <v>4</v>
      </c>
    </row>
    <row r="81" spans="4:14" x14ac:dyDescent="0.25">
      <c r="D81" s="43" t="s">
        <v>33</v>
      </c>
      <c r="G81" s="187" t="s">
        <v>123</v>
      </c>
      <c r="H81" s="23"/>
      <c r="I81" s="45"/>
      <c r="J81" s="45"/>
      <c r="K81" s="45"/>
      <c r="L81" s="45"/>
      <c r="M81" s="45"/>
      <c r="N81" s="46"/>
    </row>
    <row r="82" spans="4:14" x14ac:dyDescent="0.25">
      <c r="D82" s="43"/>
      <c r="G82" s="187"/>
      <c r="H82" t="s">
        <v>124</v>
      </c>
    </row>
    <row r="83" spans="4:14" x14ac:dyDescent="0.25">
      <c r="D83" s="43"/>
      <c r="G83" s="187"/>
      <c r="H83" s="57" t="s">
        <v>125</v>
      </c>
      <c r="I83" s="57"/>
      <c r="J83" s="57"/>
      <c r="K83" s="57"/>
      <c r="L83" s="57"/>
      <c r="M83" s="57"/>
    </row>
    <row r="84" spans="4:14" x14ac:dyDescent="0.25">
      <c r="D84" s="43"/>
      <c r="G84" s="187"/>
      <c r="H84" t="s">
        <v>139</v>
      </c>
    </row>
  </sheetData>
  <pageMargins left="0.11811023622047245" right="0.11811023622047245" top="0.15748031496062992" bottom="0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tabSelected="1" topLeftCell="A41" workbookViewId="0">
      <selection activeCell="P76" sqref="P76"/>
    </sheetView>
  </sheetViews>
  <sheetFormatPr defaultRowHeight="15" x14ac:dyDescent="0.25"/>
  <sheetData>
    <row r="1" spans="1:14" ht="18.75" x14ac:dyDescent="0.3">
      <c r="A1" s="252" t="s">
        <v>311</v>
      </c>
    </row>
    <row r="3" spans="1:14" x14ac:dyDescent="0.25">
      <c r="A3" s="221" t="s">
        <v>442</v>
      </c>
      <c r="B3" s="221"/>
      <c r="C3" s="221"/>
      <c r="D3" s="221"/>
    </row>
    <row r="4" spans="1:14" x14ac:dyDescent="0.25">
      <c r="A4" s="140" t="s">
        <v>55</v>
      </c>
      <c r="B4" s="141" t="s">
        <v>2</v>
      </c>
      <c r="C4" s="141" t="s">
        <v>3</v>
      </c>
      <c r="D4" s="141" t="s">
        <v>4</v>
      </c>
      <c r="E4" s="141" t="s">
        <v>5</v>
      </c>
      <c r="F4" s="141" t="s">
        <v>6</v>
      </c>
      <c r="G4" s="141" t="s">
        <v>7</v>
      </c>
      <c r="H4" s="141" t="s">
        <v>8</v>
      </c>
      <c r="I4" s="141" t="s">
        <v>9</v>
      </c>
      <c r="J4" s="141" t="s">
        <v>10</v>
      </c>
      <c r="K4" s="141" t="s">
        <v>11</v>
      </c>
      <c r="L4" s="141" t="s">
        <v>12</v>
      </c>
      <c r="M4" s="141" t="s">
        <v>13</v>
      </c>
      <c r="N4" s="142" t="s">
        <v>14</v>
      </c>
    </row>
    <row r="5" spans="1:14" x14ac:dyDescent="0.2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x14ac:dyDescent="0.25">
      <c r="A6" s="142" t="s">
        <v>15</v>
      </c>
      <c r="B6" s="154">
        <f>31+2-10</f>
        <v>23</v>
      </c>
      <c r="C6" s="150">
        <v>24</v>
      </c>
      <c r="D6" s="150">
        <v>25</v>
      </c>
      <c r="E6" s="150">
        <v>27</v>
      </c>
      <c r="F6" s="150">
        <v>27</v>
      </c>
      <c r="G6" s="151">
        <v>27</v>
      </c>
      <c r="H6" s="150">
        <v>25</v>
      </c>
      <c r="I6" s="150">
        <f>25+1</f>
        <v>26</v>
      </c>
      <c r="J6" s="150">
        <v>27</v>
      </c>
      <c r="K6" s="150">
        <v>29</v>
      </c>
      <c r="L6" s="150">
        <v>30</v>
      </c>
      <c r="M6" s="150">
        <v>32</v>
      </c>
      <c r="N6" s="7">
        <f>SUM(B6:M6)/12</f>
        <v>26.833333333333332</v>
      </c>
    </row>
    <row r="7" spans="1:14" x14ac:dyDescent="0.25">
      <c r="A7" s="142" t="s">
        <v>16</v>
      </c>
      <c r="B7" s="40">
        <f>3-1</f>
        <v>2</v>
      </c>
      <c r="C7" s="40">
        <v>2</v>
      </c>
      <c r="D7" s="40">
        <v>2</v>
      </c>
      <c r="E7" s="40">
        <v>2</v>
      </c>
      <c r="F7" s="40">
        <v>2</v>
      </c>
      <c r="G7" s="40">
        <v>2</v>
      </c>
      <c r="H7" s="40">
        <v>2</v>
      </c>
      <c r="I7" s="40">
        <f>2-1</f>
        <v>1</v>
      </c>
      <c r="J7" s="40">
        <v>1</v>
      </c>
      <c r="K7" s="40">
        <v>1</v>
      </c>
      <c r="L7" s="40">
        <v>1</v>
      </c>
      <c r="M7" s="40">
        <v>1</v>
      </c>
      <c r="N7" s="9">
        <f>SUM(B7:M7)/12</f>
        <v>1.5833333333333333</v>
      </c>
    </row>
    <row r="8" spans="1:14" x14ac:dyDescent="0.25">
      <c r="A8" s="142" t="s">
        <v>17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9">
        <f>SUM(B8:M8)/12</f>
        <v>0</v>
      </c>
    </row>
    <row r="9" spans="1:14" x14ac:dyDescent="0.25">
      <c r="A9" s="142"/>
      <c r="B9" s="10"/>
      <c r="C9" s="10"/>
      <c r="D9" s="10"/>
      <c r="E9" s="10"/>
      <c r="F9" s="10"/>
      <c r="G9" s="10"/>
      <c r="H9" s="8"/>
      <c r="I9" s="10"/>
      <c r="J9" s="10"/>
      <c r="K9" s="10"/>
      <c r="L9" s="10"/>
      <c r="M9" s="10"/>
      <c r="N9" s="11"/>
    </row>
    <row r="10" spans="1:14" x14ac:dyDescent="0.25">
      <c r="A10" s="140" t="s">
        <v>51</v>
      </c>
      <c r="B10" s="3">
        <f>B6+(B8*1.5)+(B7*0.8)</f>
        <v>24.6</v>
      </c>
      <c r="C10" s="3">
        <f>C6+(C8*1.5)+(C7*0.8)</f>
        <v>25.6</v>
      </c>
      <c r="D10" s="3">
        <f>D6+(D8*1.5)+(D7*0.8)</f>
        <v>26.6</v>
      </c>
      <c r="E10" s="3">
        <f>E6+(E8*1.5)+(E7*0.8)</f>
        <v>28.6</v>
      </c>
      <c r="F10" s="3">
        <f>F6+(F8*1.5)+(F7*0.8)</f>
        <v>28.6</v>
      </c>
      <c r="G10" s="3">
        <f t="shared" ref="G10:M10" si="0">G6+(G8*1.5)+(G7*0.8)</f>
        <v>28.6</v>
      </c>
      <c r="H10" s="3">
        <f t="shared" si="0"/>
        <v>26.6</v>
      </c>
      <c r="I10" s="3">
        <f t="shared" si="0"/>
        <v>26.8</v>
      </c>
      <c r="J10" s="3">
        <f t="shared" si="0"/>
        <v>27.8</v>
      </c>
      <c r="K10" s="3">
        <f t="shared" si="0"/>
        <v>29.8</v>
      </c>
      <c r="L10" s="3">
        <f t="shared" si="0"/>
        <v>30.8</v>
      </c>
      <c r="M10" s="3">
        <f t="shared" si="0"/>
        <v>32.799999999999997</v>
      </c>
      <c r="N10" s="9">
        <f>SUM(B10:M10)/12</f>
        <v>28.100000000000005</v>
      </c>
    </row>
    <row r="11" spans="1:14" x14ac:dyDescent="0.25">
      <c r="A11" s="81" t="s">
        <v>19</v>
      </c>
      <c r="B11" s="80">
        <v>2</v>
      </c>
      <c r="C11" s="79">
        <v>1</v>
      </c>
      <c r="D11" s="79">
        <v>1</v>
      </c>
      <c r="E11" s="79">
        <v>2</v>
      </c>
      <c r="F11" s="79">
        <v>0</v>
      </c>
      <c r="G11" s="79">
        <v>0</v>
      </c>
      <c r="H11" s="79">
        <v>0</v>
      </c>
      <c r="I11" s="79">
        <v>0</v>
      </c>
      <c r="J11" s="79">
        <v>1</v>
      </c>
      <c r="K11" s="79">
        <v>2</v>
      </c>
      <c r="L11" s="79">
        <v>1</v>
      </c>
      <c r="M11" s="79">
        <v>2</v>
      </c>
      <c r="N11" s="82">
        <f>SUM(B11:M11)</f>
        <v>12</v>
      </c>
    </row>
    <row r="12" spans="1:14" x14ac:dyDescent="0.25">
      <c r="H12" s="43" t="s">
        <v>67</v>
      </c>
      <c r="I12" s="43" t="s">
        <v>75</v>
      </c>
    </row>
    <row r="13" spans="1:14" x14ac:dyDescent="0.25">
      <c r="A13" s="250" t="s">
        <v>443</v>
      </c>
      <c r="B13" s="250"/>
      <c r="C13" s="250"/>
      <c r="D13" s="250"/>
    </row>
    <row r="14" spans="1:14" x14ac:dyDescent="0.25">
      <c r="A14" s="140" t="s">
        <v>55</v>
      </c>
      <c r="B14" s="141" t="s">
        <v>2</v>
      </c>
      <c r="C14" s="141" t="s">
        <v>3</v>
      </c>
      <c r="D14" s="141" t="s">
        <v>4</v>
      </c>
      <c r="E14" s="141" t="s">
        <v>5</v>
      </c>
      <c r="F14" s="141" t="s">
        <v>6</v>
      </c>
      <c r="G14" s="141" t="s">
        <v>7</v>
      </c>
      <c r="H14" s="141" t="s">
        <v>8</v>
      </c>
      <c r="I14" s="141" t="s">
        <v>9</v>
      </c>
      <c r="J14" s="141" t="s">
        <v>10</v>
      </c>
      <c r="K14" s="141" t="s">
        <v>11</v>
      </c>
      <c r="L14" s="141" t="s">
        <v>12</v>
      </c>
      <c r="M14" s="141" t="s">
        <v>13</v>
      </c>
      <c r="N14" s="142" t="s">
        <v>14</v>
      </c>
    </row>
    <row r="15" spans="1:14" x14ac:dyDescent="0.2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4" x14ac:dyDescent="0.25">
      <c r="A16" s="142" t="s">
        <v>15</v>
      </c>
      <c r="B16" s="154">
        <f>32-9</f>
        <v>23</v>
      </c>
      <c r="C16" s="150">
        <v>26</v>
      </c>
      <c r="D16" s="150">
        <v>27</v>
      </c>
      <c r="E16" s="150">
        <v>27</v>
      </c>
      <c r="F16" s="150">
        <v>28</v>
      </c>
      <c r="G16" s="151">
        <v>30</v>
      </c>
      <c r="H16" s="150">
        <v>30</v>
      </c>
      <c r="I16" s="150">
        <v>30</v>
      </c>
      <c r="J16" s="150">
        <v>30</v>
      </c>
      <c r="K16" s="150">
        <v>31</v>
      </c>
      <c r="L16" s="150">
        <v>33</v>
      </c>
      <c r="M16" s="150">
        <v>33</v>
      </c>
      <c r="N16" s="7">
        <f>SUM(B16:M16)/12</f>
        <v>29</v>
      </c>
    </row>
    <row r="17" spans="1:14" x14ac:dyDescent="0.25">
      <c r="A17" s="142" t="s">
        <v>16</v>
      </c>
      <c r="B17" s="40">
        <v>1</v>
      </c>
      <c r="C17" s="40">
        <v>1</v>
      </c>
      <c r="D17" s="40">
        <v>1</v>
      </c>
      <c r="E17" s="40">
        <v>1</v>
      </c>
      <c r="F17" s="40">
        <v>1</v>
      </c>
      <c r="G17" s="40">
        <v>1</v>
      </c>
      <c r="H17" s="40">
        <v>1</v>
      </c>
      <c r="I17" s="40">
        <v>1</v>
      </c>
      <c r="J17" s="40">
        <v>1</v>
      </c>
      <c r="K17" s="40">
        <v>1</v>
      </c>
      <c r="L17" s="40">
        <v>1</v>
      </c>
      <c r="M17" s="40">
        <v>1</v>
      </c>
      <c r="N17" s="9">
        <f>SUM(B17:M17)/12</f>
        <v>1</v>
      </c>
    </row>
    <row r="18" spans="1:14" x14ac:dyDescent="0.25">
      <c r="A18" s="142" t="s">
        <v>17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9">
        <f>SUM(B18:M18)/12</f>
        <v>0</v>
      </c>
    </row>
    <row r="19" spans="1:14" x14ac:dyDescent="0.25">
      <c r="A19" s="142"/>
      <c r="B19" s="10"/>
      <c r="C19" s="10"/>
      <c r="D19" s="10"/>
      <c r="E19" s="10"/>
      <c r="F19" s="10"/>
      <c r="G19" s="10"/>
      <c r="H19" s="8"/>
      <c r="I19" s="10"/>
      <c r="J19" s="10"/>
      <c r="K19" s="10"/>
      <c r="L19" s="10"/>
      <c r="M19" s="10"/>
      <c r="N19" s="11"/>
    </row>
    <row r="20" spans="1:14" x14ac:dyDescent="0.25">
      <c r="A20" s="140" t="s">
        <v>269</v>
      </c>
      <c r="B20" s="3">
        <f>B16+(B18*1.5)+(B17*0.8)</f>
        <v>23.8</v>
      </c>
      <c r="C20" s="3">
        <f>C16+(C18*1.5)+(C17*0.8)</f>
        <v>26.8</v>
      </c>
      <c r="D20" s="3">
        <f>D16+(D18*1.5)+(D17*0.8)</f>
        <v>27.8</v>
      </c>
      <c r="E20" s="3">
        <f>E16+(E18*1.5)+(E17*0.8)</f>
        <v>27.8</v>
      </c>
      <c r="F20" s="3">
        <f>F16+(F18*1.5)+(F17*0.8)</f>
        <v>28.8</v>
      </c>
      <c r="G20" s="3">
        <f t="shared" ref="G20:M20" si="1">G16+(G18*1.5)+(G17*0.8)</f>
        <v>30.8</v>
      </c>
      <c r="H20" s="3">
        <f t="shared" si="1"/>
        <v>30.8</v>
      </c>
      <c r="I20" s="3">
        <f t="shared" si="1"/>
        <v>30.8</v>
      </c>
      <c r="J20" s="3">
        <f t="shared" si="1"/>
        <v>30.8</v>
      </c>
      <c r="K20" s="3">
        <f t="shared" si="1"/>
        <v>31.8</v>
      </c>
      <c r="L20" s="3">
        <f t="shared" si="1"/>
        <v>33.799999999999997</v>
      </c>
      <c r="M20" s="3">
        <f t="shared" si="1"/>
        <v>33.799999999999997</v>
      </c>
      <c r="N20" s="9">
        <f>SUM(B20:M20)/12</f>
        <v>29.800000000000008</v>
      </c>
    </row>
    <row r="21" spans="1:14" x14ac:dyDescent="0.25">
      <c r="A21" s="81" t="s">
        <v>19</v>
      </c>
      <c r="B21" s="80">
        <v>0</v>
      </c>
      <c r="C21" s="79">
        <v>3</v>
      </c>
      <c r="D21" s="79">
        <v>1</v>
      </c>
      <c r="E21" s="79">
        <v>0</v>
      </c>
      <c r="F21" s="79">
        <v>1</v>
      </c>
      <c r="G21" s="79">
        <v>2</v>
      </c>
      <c r="H21" s="79">
        <v>0</v>
      </c>
      <c r="I21" s="79">
        <v>0</v>
      </c>
      <c r="J21" s="79">
        <v>0</v>
      </c>
      <c r="K21" s="79">
        <v>1</v>
      </c>
      <c r="L21" s="79">
        <v>2</v>
      </c>
      <c r="M21" s="79">
        <v>0</v>
      </c>
      <c r="N21" s="82">
        <f>SUM(B21:M21)</f>
        <v>10</v>
      </c>
    </row>
    <row r="22" spans="1:14" x14ac:dyDescent="0.25">
      <c r="B22" s="43" t="s">
        <v>447</v>
      </c>
    </row>
    <row r="23" spans="1:14" x14ac:dyDescent="0.25">
      <c r="B23" s="43" t="s">
        <v>315</v>
      </c>
    </row>
    <row r="25" spans="1:14" x14ac:dyDescent="0.25">
      <c r="A25" s="251" t="s">
        <v>444</v>
      </c>
      <c r="B25" s="251"/>
      <c r="C25" s="251"/>
      <c r="D25" s="251"/>
    </row>
    <row r="26" spans="1:14" x14ac:dyDescent="0.25">
      <c r="A26" s="140" t="s">
        <v>55</v>
      </c>
      <c r="B26" s="141" t="s">
        <v>2</v>
      </c>
      <c r="C26" s="141" t="s">
        <v>3</v>
      </c>
      <c r="D26" s="141" t="s">
        <v>4</v>
      </c>
      <c r="E26" s="141" t="s">
        <v>5</v>
      </c>
      <c r="F26" s="141" t="s">
        <v>6</v>
      </c>
      <c r="G26" s="141" t="s">
        <v>7</v>
      </c>
      <c r="H26" s="141" t="s">
        <v>8</v>
      </c>
      <c r="I26" s="141" t="s">
        <v>9</v>
      </c>
      <c r="J26" s="141" t="s">
        <v>10</v>
      </c>
      <c r="K26" s="141" t="s">
        <v>11</v>
      </c>
      <c r="L26" s="141" t="s">
        <v>12</v>
      </c>
      <c r="M26" s="141" t="s">
        <v>13</v>
      </c>
      <c r="N26" s="142" t="s">
        <v>14</v>
      </c>
    </row>
    <row r="27" spans="1:14" x14ac:dyDescent="0.2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</row>
    <row r="28" spans="1:14" x14ac:dyDescent="0.25">
      <c r="A28" s="142" t="s">
        <v>15</v>
      </c>
      <c r="B28" s="154">
        <f>33-11+1</f>
        <v>23</v>
      </c>
      <c r="C28" s="150">
        <v>23</v>
      </c>
      <c r="D28" s="150">
        <v>23</v>
      </c>
      <c r="E28" s="150">
        <v>24</v>
      </c>
      <c r="F28" s="150">
        <v>25</v>
      </c>
      <c r="G28" s="151">
        <v>26</v>
      </c>
      <c r="H28" s="150">
        <v>26</v>
      </c>
      <c r="I28" s="150">
        <v>26</v>
      </c>
      <c r="J28" s="150">
        <v>27</v>
      </c>
      <c r="K28" s="150">
        <v>27</v>
      </c>
      <c r="L28" s="150">
        <v>28</v>
      </c>
      <c r="M28" s="150">
        <v>31</v>
      </c>
      <c r="N28" s="7">
        <f>SUM(B28:M28)/12</f>
        <v>25.75</v>
      </c>
    </row>
    <row r="29" spans="1:14" x14ac:dyDescent="0.25">
      <c r="A29" s="142" t="s">
        <v>16</v>
      </c>
      <c r="B29" s="40">
        <f>1-1</f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9">
        <f>SUM(B29:M29)/12</f>
        <v>0</v>
      </c>
    </row>
    <row r="30" spans="1:14" x14ac:dyDescent="0.25">
      <c r="A30" s="142" t="s">
        <v>17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9">
        <f>SUM(B30:M30)/12</f>
        <v>0</v>
      </c>
    </row>
    <row r="31" spans="1:14" x14ac:dyDescent="0.25">
      <c r="A31" s="142"/>
      <c r="B31" s="10"/>
      <c r="C31" s="10"/>
      <c r="D31" s="10"/>
      <c r="E31" s="10"/>
      <c r="F31" s="10"/>
      <c r="G31" s="10"/>
      <c r="H31" s="8"/>
      <c r="I31" s="10"/>
      <c r="J31" s="10"/>
      <c r="K31" s="10"/>
      <c r="L31" s="10"/>
      <c r="M31" s="10"/>
      <c r="N31" s="11"/>
    </row>
    <row r="32" spans="1:14" x14ac:dyDescent="0.25">
      <c r="A32" s="140" t="s">
        <v>270</v>
      </c>
      <c r="B32" s="3">
        <f>B28+(B30*1.5)+(B29*0.8)</f>
        <v>23</v>
      </c>
      <c r="C32" s="3">
        <f>C28+(C30*1.5)+(C29*0.8)</f>
        <v>23</v>
      </c>
      <c r="D32" s="3">
        <f>D28+(D30*1.5)+(D29*0.8)</f>
        <v>23</v>
      </c>
      <c r="E32" s="3">
        <f>E28+(E30*1.5)+(E29*0.8)</f>
        <v>24</v>
      </c>
      <c r="F32" s="3">
        <f>F28+(F30*1.5)+(F29*0.8)</f>
        <v>25</v>
      </c>
      <c r="G32" s="3">
        <f t="shared" ref="G32:M32" si="2">G28+(G30*1.5)+(G29*0.8)</f>
        <v>26</v>
      </c>
      <c r="H32" s="3">
        <f t="shared" si="2"/>
        <v>26</v>
      </c>
      <c r="I32" s="3">
        <f t="shared" si="2"/>
        <v>26</v>
      </c>
      <c r="J32" s="3">
        <f t="shared" si="2"/>
        <v>27</v>
      </c>
      <c r="K32" s="3">
        <f t="shared" si="2"/>
        <v>27</v>
      </c>
      <c r="L32" s="3">
        <f t="shared" si="2"/>
        <v>28</v>
      </c>
      <c r="M32" s="3">
        <f t="shared" si="2"/>
        <v>31</v>
      </c>
      <c r="N32" s="9">
        <f>SUM(B32:M32)/12</f>
        <v>25.75</v>
      </c>
    </row>
    <row r="33" spans="1:14" x14ac:dyDescent="0.25">
      <c r="A33" s="81" t="s">
        <v>19</v>
      </c>
      <c r="B33" s="80">
        <v>0</v>
      </c>
      <c r="C33" s="79">
        <v>0</v>
      </c>
      <c r="D33" s="79">
        <v>0</v>
      </c>
      <c r="E33" s="79">
        <v>1</v>
      </c>
      <c r="F33" s="79">
        <v>1</v>
      </c>
      <c r="G33" s="79">
        <v>1</v>
      </c>
      <c r="H33" s="79">
        <v>0</v>
      </c>
      <c r="I33" s="79">
        <v>0</v>
      </c>
      <c r="J33" s="79">
        <v>1</v>
      </c>
      <c r="K33" s="79">
        <v>0</v>
      </c>
      <c r="L33" s="79">
        <v>1</v>
      </c>
      <c r="M33" s="79">
        <v>2</v>
      </c>
      <c r="N33" s="82">
        <f>SUM(B33:M33)</f>
        <v>7</v>
      </c>
    </row>
    <row r="34" spans="1:14" x14ac:dyDescent="0.25">
      <c r="A34" s="253" t="s">
        <v>319</v>
      </c>
      <c r="B34" s="257">
        <v>1</v>
      </c>
      <c r="C34" s="257"/>
      <c r="D34" s="257"/>
      <c r="E34" s="257"/>
      <c r="F34" s="257" t="s">
        <v>448</v>
      </c>
      <c r="G34" s="257"/>
      <c r="H34" s="257"/>
      <c r="I34" s="257"/>
      <c r="J34" s="257"/>
      <c r="K34" s="257"/>
      <c r="L34" s="257"/>
      <c r="M34" s="257">
        <v>1</v>
      </c>
      <c r="N34" s="43">
        <v>4</v>
      </c>
    </row>
    <row r="35" spans="1:14" x14ac:dyDescent="0.25">
      <c r="B35" s="43" t="s">
        <v>91</v>
      </c>
    </row>
    <row r="36" spans="1:14" x14ac:dyDescent="0.25">
      <c r="B36" s="43" t="s">
        <v>57</v>
      </c>
    </row>
    <row r="37" spans="1:14" x14ac:dyDescent="0.25">
      <c r="B37" s="43"/>
    </row>
    <row r="38" spans="1:14" x14ac:dyDescent="0.25">
      <c r="A38" s="274" t="s">
        <v>445</v>
      </c>
      <c r="B38" s="274"/>
      <c r="C38" s="274"/>
      <c r="D38" s="274"/>
    </row>
    <row r="39" spans="1:14" x14ac:dyDescent="0.25">
      <c r="A39" s="140" t="s">
        <v>55</v>
      </c>
      <c r="B39" s="141" t="s">
        <v>2</v>
      </c>
      <c r="C39" s="141" t="s">
        <v>3</v>
      </c>
      <c r="D39" s="141" t="s">
        <v>4</v>
      </c>
      <c r="E39" s="141" t="s">
        <v>5</v>
      </c>
      <c r="F39" s="141" t="s">
        <v>6</v>
      </c>
      <c r="G39" s="141" t="s">
        <v>7</v>
      </c>
      <c r="H39" s="141" t="s">
        <v>8</v>
      </c>
      <c r="I39" s="141" t="s">
        <v>9</v>
      </c>
      <c r="J39" s="141" t="s">
        <v>10</v>
      </c>
      <c r="K39" s="141" t="s">
        <v>11</v>
      </c>
      <c r="L39" s="141" t="s">
        <v>12</v>
      </c>
      <c r="M39" s="141" t="s">
        <v>13</v>
      </c>
      <c r="N39" s="142" t="s">
        <v>14</v>
      </c>
    </row>
    <row r="40" spans="1:14" x14ac:dyDescent="0.25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</row>
    <row r="41" spans="1:14" x14ac:dyDescent="0.25">
      <c r="A41" s="142" t="s">
        <v>15</v>
      </c>
      <c r="B41" s="154">
        <f>31-6+2</f>
        <v>27</v>
      </c>
      <c r="C41" s="150">
        <v>27</v>
      </c>
      <c r="D41" s="150">
        <v>28</v>
      </c>
      <c r="E41" s="150">
        <v>28</v>
      </c>
      <c r="F41" s="150">
        <v>30</v>
      </c>
      <c r="G41" s="151">
        <v>30</v>
      </c>
      <c r="H41" s="150">
        <v>30</v>
      </c>
      <c r="I41" s="150">
        <v>30</v>
      </c>
      <c r="J41" s="150">
        <v>30</v>
      </c>
      <c r="K41" s="150">
        <v>30</v>
      </c>
      <c r="L41" s="150">
        <v>30</v>
      </c>
      <c r="M41" s="150">
        <v>30</v>
      </c>
      <c r="N41" s="7">
        <f>SUM(B41:M41)/12</f>
        <v>29.166666666666668</v>
      </c>
    </row>
    <row r="42" spans="1:14" x14ac:dyDescent="0.25">
      <c r="A42" s="142" t="s">
        <v>16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9">
        <f>SUM(B42:M42)/12</f>
        <v>0</v>
      </c>
    </row>
    <row r="43" spans="1:14" x14ac:dyDescent="0.25">
      <c r="A43" s="142" t="s">
        <v>17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9">
        <f>SUM(B43:M43)/12</f>
        <v>0</v>
      </c>
    </row>
    <row r="44" spans="1:14" x14ac:dyDescent="0.25">
      <c r="A44" s="142"/>
      <c r="B44" s="10"/>
      <c r="C44" s="10"/>
      <c r="D44" s="10"/>
      <c r="E44" s="10"/>
      <c r="F44" s="10"/>
      <c r="G44" s="10"/>
      <c r="H44" s="8"/>
      <c r="I44" s="10"/>
      <c r="J44" s="10"/>
      <c r="K44" s="10"/>
      <c r="L44" s="10"/>
      <c r="M44" s="10"/>
      <c r="N44" s="11"/>
    </row>
    <row r="45" spans="1:14" x14ac:dyDescent="0.25">
      <c r="A45" s="140" t="s">
        <v>446</v>
      </c>
      <c r="B45" s="3">
        <f>B41+(B43*1.5)+(B42*0.8)</f>
        <v>27</v>
      </c>
      <c r="C45" s="3">
        <f>C41+(C43*1.5)+(C42*0.8)</f>
        <v>27</v>
      </c>
      <c r="D45" s="3">
        <f>D41+(D43*1.5)+(D42*0.8)</f>
        <v>28</v>
      </c>
      <c r="E45" s="3">
        <f>E41+(E43*1.5)+(E42*0.8)</f>
        <v>28</v>
      </c>
      <c r="F45" s="3">
        <f>F41+(F43*1.5)+(F42*0.8)</f>
        <v>30</v>
      </c>
      <c r="G45" s="3">
        <f t="shared" ref="G45:M45" si="3">G41+(G43*1.5)+(G42*0.8)</f>
        <v>30</v>
      </c>
      <c r="H45" s="3">
        <f t="shared" si="3"/>
        <v>30</v>
      </c>
      <c r="I45" s="3">
        <f t="shared" si="3"/>
        <v>30</v>
      </c>
      <c r="J45" s="3">
        <f t="shared" si="3"/>
        <v>30</v>
      </c>
      <c r="K45" s="3">
        <f t="shared" si="3"/>
        <v>30</v>
      </c>
      <c r="L45" s="3">
        <f t="shared" si="3"/>
        <v>30</v>
      </c>
      <c r="M45" s="3">
        <f t="shared" si="3"/>
        <v>30</v>
      </c>
      <c r="N45" s="9">
        <f>SUM(B45:M45)/12</f>
        <v>29.166666666666668</v>
      </c>
    </row>
    <row r="46" spans="1:14" x14ac:dyDescent="0.25">
      <c r="A46" s="81" t="s">
        <v>19</v>
      </c>
      <c r="B46" s="80">
        <v>1</v>
      </c>
      <c r="C46" s="79">
        <v>0</v>
      </c>
      <c r="D46" s="79">
        <v>1</v>
      </c>
      <c r="E46" s="79">
        <v>0</v>
      </c>
      <c r="F46" s="79">
        <v>1</v>
      </c>
      <c r="G46" s="79">
        <v>0</v>
      </c>
      <c r="H46" s="79">
        <v>0</v>
      </c>
      <c r="I46" s="79"/>
      <c r="J46" s="79"/>
      <c r="K46" s="79"/>
      <c r="L46" s="79"/>
      <c r="M46" s="79"/>
      <c r="N46" s="82">
        <f>SUM(B46:M46)</f>
        <v>3</v>
      </c>
    </row>
    <row r="47" spans="1:14" x14ac:dyDescent="0.25">
      <c r="B47" s="257">
        <v>1</v>
      </c>
      <c r="C47" s="257" t="s">
        <v>448</v>
      </c>
      <c r="D47" s="85"/>
      <c r="E47" s="85"/>
      <c r="F47" s="85">
        <v>1</v>
      </c>
      <c r="G47" s="85"/>
      <c r="H47" s="240"/>
      <c r="I47" s="256" t="s">
        <v>371</v>
      </c>
      <c r="J47" s="256"/>
      <c r="K47" s="256"/>
      <c r="L47" s="240"/>
      <c r="M47" s="240"/>
    </row>
    <row r="48" spans="1:14" x14ac:dyDescent="0.25">
      <c r="B48" s="43" t="s">
        <v>38</v>
      </c>
    </row>
    <row r="49" spans="1:14" ht="18.75" x14ac:dyDescent="0.3">
      <c r="A49" s="252" t="s">
        <v>322</v>
      </c>
    </row>
    <row r="50" spans="1:14" ht="18.75" x14ac:dyDescent="0.3">
      <c r="A50" s="254" t="s">
        <v>320</v>
      </c>
    </row>
    <row r="51" spans="1:14" ht="18.75" x14ac:dyDescent="0.3">
      <c r="A51" s="254" t="s">
        <v>321</v>
      </c>
    </row>
    <row r="53" spans="1:14" x14ac:dyDescent="0.25">
      <c r="A53" s="221" t="s">
        <v>442</v>
      </c>
      <c r="B53" s="221"/>
      <c r="C53" s="221"/>
      <c r="D53" s="221"/>
    </row>
    <row r="54" spans="1:14" x14ac:dyDescent="0.25">
      <c r="A54" s="140" t="s">
        <v>316</v>
      </c>
      <c r="B54" s="141" t="s">
        <v>2</v>
      </c>
      <c r="C54" s="141" t="s">
        <v>3</v>
      </c>
      <c r="D54" s="141" t="s">
        <v>4</v>
      </c>
      <c r="E54" s="141" t="s">
        <v>5</v>
      </c>
      <c r="F54" s="141" t="s">
        <v>6</v>
      </c>
      <c r="G54" s="141" t="s">
        <v>7</v>
      </c>
      <c r="H54" s="141" t="s">
        <v>8</v>
      </c>
      <c r="I54" s="141" t="s">
        <v>9</v>
      </c>
      <c r="J54" s="141" t="s">
        <v>10</v>
      </c>
      <c r="K54" s="141" t="s">
        <v>11</v>
      </c>
      <c r="L54" s="141" t="s">
        <v>12</v>
      </c>
      <c r="M54" s="141" t="s">
        <v>13</v>
      </c>
      <c r="N54" s="142" t="s">
        <v>14</v>
      </c>
    </row>
    <row r="55" spans="1:14" x14ac:dyDescent="0.25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</row>
    <row r="56" spans="1:14" x14ac:dyDescent="0.25">
      <c r="A56" s="142" t="s">
        <v>15</v>
      </c>
      <c r="B56" s="154">
        <v>20</v>
      </c>
      <c r="C56" s="150">
        <v>20</v>
      </c>
      <c r="D56" s="150">
        <v>20</v>
      </c>
      <c r="E56" s="150">
        <v>21</v>
      </c>
      <c r="F56" s="150">
        <v>21</v>
      </c>
      <c r="G56" s="151">
        <v>22</v>
      </c>
      <c r="H56" s="150">
        <v>24</v>
      </c>
      <c r="I56" s="150">
        <v>24</v>
      </c>
      <c r="J56" s="150">
        <v>25</v>
      </c>
      <c r="K56" s="150">
        <v>26</v>
      </c>
      <c r="L56" s="150">
        <v>26</v>
      </c>
      <c r="M56" s="150">
        <v>26</v>
      </c>
      <c r="N56" s="7">
        <f>SUM(B56:M56)/12</f>
        <v>22.916666666666668</v>
      </c>
    </row>
    <row r="57" spans="1:14" x14ac:dyDescent="0.25">
      <c r="A57" s="142" t="s">
        <v>16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9">
        <f>SUM(B57:M57)/12</f>
        <v>0</v>
      </c>
    </row>
    <row r="58" spans="1:14" x14ac:dyDescent="0.25">
      <c r="A58" s="142" t="s">
        <v>17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9">
        <f>SUM(B58:M58)/12</f>
        <v>0</v>
      </c>
    </row>
    <row r="59" spans="1:14" x14ac:dyDescent="0.25">
      <c r="A59" s="142"/>
      <c r="B59" s="10"/>
      <c r="C59" s="10"/>
      <c r="D59" s="10"/>
      <c r="E59" s="10"/>
      <c r="F59" s="10"/>
      <c r="G59" s="10"/>
      <c r="H59" s="8"/>
      <c r="I59" s="10"/>
      <c r="J59" s="10"/>
      <c r="K59" s="10"/>
      <c r="L59" s="10"/>
      <c r="M59" s="10"/>
      <c r="N59" s="11"/>
    </row>
    <row r="60" spans="1:14" x14ac:dyDescent="0.25">
      <c r="A60" s="140" t="s">
        <v>51</v>
      </c>
      <c r="B60" s="3">
        <f>B56+(B58*1.5)+(B57*0.8)</f>
        <v>20</v>
      </c>
      <c r="C60" s="3">
        <f>C56+(C58*1.5)+(C57*0.8)</f>
        <v>20</v>
      </c>
      <c r="D60" s="3">
        <f>D56+(D58*1.5)+(D57*0.8)</f>
        <v>20</v>
      </c>
      <c r="E60" s="3">
        <f>E56+(E58*1.5)+(E57*0.8)</f>
        <v>21</v>
      </c>
      <c r="F60" s="3">
        <f>F56+(F58*1.5)+(F57*0.8)</f>
        <v>21</v>
      </c>
      <c r="G60" s="3">
        <f t="shared" ref="G60:M60" si="4">G56+(G58*1.5)+(G57*0.8)</f>
        <v>22</v>
      </c>
      <c r="H60" s="3">
        <f t="shared" si="4"/>
        <v>24</v>
      </c>
      <c r="I60" s="3">
        <f t="shared" si="4"/>
        <v>24</v>
      </c>
      <c r="J60" s="3">
        <f t="shared" si="4"/>
        <v>25</v>
      </c>
      <c r="K60" s="3">
        <f t="shared" si="4"/>
        <v>26</v>
      </c>
      <c r="L60" s="3">
        <f t="shared" si="4"/>
        <v>26</v>
      </c>
      <c r="M60" s="3">
        <f t="shared" si="4"/>
        <v>26</v>
      </c>
      <c r="N60" s="9">
        <f>SUM(B60:M60)/12</f>
        <v>22.916666666666668</v>
      </c>
    </row>
    <row r="61" spans="1:14" x14ac:dyDescent="0.25">
      <c r="A61" s="81" t="s">
        <v>19</v>
      </c>
      <c r="B61" s="80">
        <v>0</v>
      </c>
      <c r="C61" s="79">
        <v>0</v>
      </c>
      <c r="D61" s="79">
        <v>0</v>
      </c>
      <c r="E61" s="79">
        <v>1</v>
      </c>
      <c r="F61" s="79">
        <v>0</v>
      </c>
      <c r="G61" s="79">
        <v>1</v>
      </c>
      <c r="H61" s="79">
        <v>2</v>
      </c>
      <c r="I61" s="79">
        <v>0</v>
      </c>
      <c r="J61" s="79">
        <v>1</v>
      </c>
      <c r="K61" s="79">
        <v>1</v>
      </c>
      <c r="L61" s="79">
        <v>0</v>
      </c>
      <c r="M61" s="79">
        <v>0</v>
      </c>
      <c r="N61" s="82">
        <f>SUM(B61:M61)</f>
        <v>6</v>
      </c>
    </row>
    <row r="63" spans="1:14" x14ac:dyDescent="0.25">
      <c r="A63" s="250" t="s">
        <v>443</v>
      </c>
      <c r="B63" s="250"/>
      <c r="C63" s="250"/>
      <c r="D63" s="250"/>
    </row>
    <row r="64" spans="1:14" x14ac:dyDescent="0.25">
      <c r="A64" s="140" t="s">
        <v>316</v>
      </c>
      <c r="B64" s="141" t="s">
        <v>2</v>
      </c>
      <c r="C64" s="141" t="s">
        <v>3</v>
      </c>
      <c r="D64" s="141" t="s">
        <v>4</v>
      </c>
      <c r="E64" s="141" t="s">
        <v>5</v>
      </c>
      <c r="F64" s="141" t="s">
        <v>6</v>
      </c>
      <c r="G64" s="141" t="s">
        <v>7</v>
      </c>
      <c r="H64" s="141" t="s">
        <v>8</v>
      </c>
      <c r="I64" s="141" t="s">
        <v>9</v>
      </c>
      <c r="J64" s="141" t="s">
        <v>10</v>
      </c>
      <c r="K64" s="141" t="s">
        <v>11</v>
      </c>
      <c r="L64" s="141" t="s">
        <v>12</v>
      </c>
      <c r="M64" s="141" t="s">
        <v>13</v>
      </c>
      <c r="N64" s="142" t="s">
        <v>14</v>
      </c>
    </row>
    <row r="65" spans="1:14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</row>
    <row r="66" spans="1:14" x14ac:dyDescent="0.25">
      <c r="A66" s="142" t="s">
        <v>15</v>
      </c>
      <c r="B66" s="154">
        <f>26-13</f>
        <v>13</v>
      </c>
      <c r="C66" s="150">
        <v>13</v>
      </c>
      <c r="D66" s="150">
        <v>14</v>
      </c>
      <c r="E66" s="150">
        <v>14</v>
      </c>
      <c r="F66" s="150">
        <v>14</v>
      </c>
      <c r="G66" s="151">
        <v>15</v>
      </c>
      <c r="H66" s="150">
        <v>16</v>
      </c>
      <c r="I66" s="150">
        <v>16</v>
      </c>
      <c r="J66" s="150">
        <v>16</v>
      </c>
      <c r="K66" s="150">
        <v>16</v>
      </c>
      <c r="L66" s="150">
        <v>17</v>
      </c>
      <c r="M66" s="150">
        <v>17</v>
      </c>
      <c r="N66" s="7">
        <f>SUM(B66:M66)/12</f>
        <v>15.083333333333334</v>
      </c>
    </row>
    <row r="67" spans="1:14" x14ac:dyDescent="0.25">
      <c r="A67" s="142" t="s">
        <v>16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9">
        <f>SUM(B67:M67)/12</f>
        <v>0</v>
      </c>
    </row>
    <row r="68" spans="1:14" x14ac:dyDescent="0.25">
      <c r="A68" s="142" t="s">
        <v>17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9">
        <f>SUM(B68:M68)/12</f>
        <v>0</v>
      </c>
    </row>
    <row r="69" spans="1:14" x14ac:dyDescent="0.25">
      <c r="A69" s="142"/>
      <c r="B69" s="10"/>
      <c r="C69" s="10"/>
      <c r="D69" s="10"/>
      <c r="E69" s="10"/>
      <c r="F69" s="10"/>
      <c r="G69" s="10"/>
      <c r="H69" s="8"/>
      <c r="I69" s="10"/>
      <c r="J69" s="10"/>
      <c r="K69" s="10"/>
      <c r="L69" s="10"/>
      <c r="M69" s="10"/>
      <c r="N69" s="11"/>
    </row>
    <row r="70" spans="1:14" x14ac:dyDescent="0.25">
      <c r="A70" s="140" t="s">
        <v>269</v>
      </c>
      <c r="B70" s="3">
        <f>B66+(B68*1.5)+(B67*0.8)</f>
        <v>13</v>
      </c>
      <c r="C70" s="3">
        <f>C66+(C68*1.5)+(C67*0.8)</f>
        <v>13</v>
      </c>
      <c r="D70" s="3">
        <f>D66+(D68*1.5)+(D67*0.8)</f>
        <v>14</v>
      </c>
      <c r="E70" s="3">
        <f>E66+(E68*1.5)+(E67*0.8)</f>
        <v>14</v>
      </c>
      <c r="F70" s="3">
        <f>F66+(F68*1.5)+(F67*0.8)</f>
        <v>14</v>
      </c>
      <c r="G70" s="3">
        <f t="shared" ref="G70:M70" si="5">G66+(G68*1.5)+(G67*0.8)</f>
        <v>15</v>
      </c>
      <c r="H70" s="3">
        <f t="shared" si="5"/>
        <v>16</v>
      </c>
      <c r="I70" s="3">
        <f t="shared" si="5"/>
        <v>16</v>
      </c>
      <c r="J70" s="3">
        <f t="shared" si="5"/>
        <v>16</v>
      </c>
      <c r="K70" s="3">
        <f t="shared" si="5"/>
        <v>16</v>
      </c>
      <c r="L70" s="3">
        <f t="shared" si="5"/>
        <v>17</v>
      </c>
      <c r="M70" s="3">
        <f t="shared" si="5"/>
        <v>17</v>
      </c>
      <c r="N70" s="9">
        <f>SUM(B70:M70)/12</f>
        <v>15.083333333333334</v>
      </c>
    </row>
    <row r="71" spans="1:14" x14ac:dyDescent="0.25">
      <c r="A71" s="81" t="s">
        <v>19</v>
      </c>
      <c r="B71" s="80">
        <v>0</v>
      </c>
      <c r="C71" s="79">
        <v>0</v>
      </c>
      <c r="D71" s="79">
        <v>1</v>
      </c>
      <c r="E71" s="79">
        <v>0</v>
      </c>
      <c r="F71" s="79">
        <v>0</v>
      </c>
      <c r="G71" s="79">
        <v>1</v>
      </c>
      <c r="H71" s="79">
        <v>1</v>
      </c>
      <c r="I71" s="79">
        <v>0</v>
      </c>
      <c r="J71" s="79">
        <v>0</v>
      </c>
      <c r="K71" s="79">
        <v>0</v>
      </c>
      <c r="L71" s="79">
        <v>1</v>
      </c>
      <c r="M71" s="79">
        <v>0</v>
      </c>
      <c r="N71" s="82">
        <f>SUM(B71:M71)</f>
        <v>4</v>
      </c>
    </row>
    <row r="72" spans="1:14" x14ac:dyDescent="0.25">
      <c r="B72" s="43" t="s">
        <v>129</v>
      </c>
    </row>
    <row r="74" spans="1:14" x14ac:dyDescent="0.25">
      <c r="A74" s="251" t="s">
        <v>444</v>
      </c>
      <c r="B74" s="251"/>
      <c r="C74" s="251"/>
      <c r="D74" s="251"/>
    </row>
    <row r="75" spans="1:14" x14ac:dyDescent="0.25">
      <c r="A75" s="140" t="s">
        <v>316</v>
      </c>
      <c r="B75" s="141" t="s">
        <v>2</v>
      </c>
      <c r="C75" s="141" t="s">
        <v>3</v>
      </c>
      <c r="D75" s="141" t="s">
        <v>4</v>
      </c>
      <c r="E75" s="141" t="s">
        <v>5</v>
      </c>
      <c r="F75" s="141" t="s">
        <v>6</v>
      </c>
      <c r="G75" s="141" t="s">
        <v>7</v>
      </c>
      <c r="H75" s="141" t="s">
        <v>8</v>
      </c>
      <c r="I75" s="141" t="s">
        <v>9</v>
      </c>
      <c r="J75" s="141" t="s">
        <v>10</v>
      </c>
      <c r="K75" s="141" t="s">
        <v>11</v>
      </c>
      <c r="L75" s="141" t="s">
        <v>12</v>
      </c>
      <c r="M75" s="141" t="s">
        <v>13</v>
      </c>
      <c r="N75" s="142" t="s">
        <v>14</v>
      </c>
    </row>
    <row r="76" spans="1:14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</row>
    <row r="77" spans="1:14" x14ac:dyDescent="0.25">
      <c r="A77" s="142" t="s">
        <v>15</v>
      </c>
      <c r="B77" s="154">
        <f>17-3+1</f>
        <v>15</v>
      </c>
      <c r="C77" s="150">
        <v>15</v>
      </c>
      <c r="D77" s="150">
        <v>15</v>
      </c>
      <c r="E77" s="150">
        <v>15</v>
      </c>
      <c r="F77" s="150">
        <v>15</v>
      </c>
      <c r="G77" s="151">
        <v>16</v>
      </c>
      <c r="H77" s="150">
        <v>16</v>
      </c>
      <c r="I77" s="150">
        <v>18</v>
      </c>
      <c r="J77" s="150">
        <v>19</v>
      </c>
      <c r="K77" s="150">
        <v>19</v>
      </c>
      <c r="L77" s="150">
        <v>19</v>
      </c>
      <c r="M77" s="150">
        <v>20</v>
      </c>
      <c r="N77" s="7">
        <f>SUM(B77:M77)/12</f>
        <v>16.833333333333332</v>
      </c>
    </row>
    <row r="78" spans="1:14" x14ac:dyDescent="0.25">
      <c r="A78" s="142" t="s">
        <v>16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9">
        <f>SUM(B78:M78)/12</f>
        <v>0</v>
      </c>
    </row>
    <row r="79" spans="1:14" x14ac:dyDescent="0.25">
      <c r="A79" s="142" t="s">
        <v>17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9">
        <f>SUM(B79:M79)/12</f>
        <v>0</v>
      </c>
    </row>
    <row r="80" spans="1:14" x14ac:dyDescent="0.25">
      <c r="A80" s="142"/>
      <c r="B80" s="10"/>
      <c r="C80" s="10"/>
      <c r="D80" s="10"/>
      <c r="E80" s="10"/>
      <c r="F80" s="10"/>
      <c r="G80" s="10"/>
      <c r="H80" s="8"/>
      <c r="I80" s="10"/>
      <c r="J80" s="10"/>
      <c r="K80" s="10"/>
      <c r="L80" s="10"/>
      <c r="M80" s="10"/>
      <c r="N80" s="11"/>
    </row>
    <row r="81" spans="1:14" x14ac:dyDescent="0.25">
      <c r="A81" s="140" t="s">
        <v>270</v>
      </c>
      <c r="B81" s="3">
        <f>B77+(B79*1.5)+(B78*0.8)</f>
        <v>15</v>
      </c>
      <c r="C81" s="3">
        <f>C77+(C79*1.5)+(C78*0.8)</f>
        <v>15</v>
      </c>
      <c r="D81" s="3">
        <f>D77+(D79*1.5)+(D78*0.8)</f>
        <v>15</v>
      </c>
      <c r="E81" s="3">
        <f>E77+(E79*1.5)+(E78*0.8)</f>
        <v>15</v>
      </c>
      <c r="F81" s="3">
        <f>F77+(F79*1.5)+(F78*0.8)</f>
        <v>15</v>
      </c>
      <c r="G81" s="3">
        <f t="shared" ref="G81:M81" si="6">G77+(G79*1.5)+(G78*0.8)</f>
        <v>16</v>
      </c>
      <c r="H81" s="3">
        <f t="shared" si="6"/>
        <v>16</v>
      </c>
      <c r="I81" s="3">
        <f t="shared" si="6"/>
        <v>18</v>
      </c>
      <c r="J81" s="3">
        <f t="shared" si="6"/>
        <v>19</v>
      </c>
      <c r="K81" s="3">
        <f t="shared" si="6"/>
        <v>19</v>
      </c>
      <c r="L81" s="3">
        <f t="shared" si="6"/>
        <v>19</v>
      </c>
      <c r="M81" s="3">
        <f t="shared" si="6"/>
        <v>20</v>
      </c>
      <c r="N81" s="9">
        <f>SUM(B81:M81)/12</f>
        <v>16.833333333333332</v>
      </c>
    </row>
    <row r="82" spans="1:14" x14ac:dyDescent="0.25">
      <c r="A82" s="81" t="s">
        <v>19</v>
      </c>
      <c r="B82" s="80">
        <v>1</v>
      </c>
      <c r="C82" s="79">
        <v>0</v>
      </c>
      <c r="D82" s="79">
        <v>0</v>
      </c>
      <c r="E82" s="79">
        <v>0</v>
      </c>
      <c r="F82" s="79">
        <v>0</v>
      </c>
      <c r="G82" s="79">
        <v>1</v>
      </c>
      <c r="H82" s="79">
        <v>0</v>
      </c>
      <c r="I82" s="79">
        <v>2</v>
      </c>
      <c r="J82" s="79">
        <v>1</v>
      </c>
      <c r="K82" s="79">
        <v>0</v>
      </c>
      <c r="L82" s="79">
        <v>0</v>
      </c>
      <c r="M82" s="79">
        <v>1</v>
      </c>
      <c r="N82" s="82">
        <f>SUM(B82:M82)</f>
        <v>6</v>
      </c>
    </row>
    <row r="83" spans="1:14" x14ac:dyDescent="0.25">
      <c r="B83" s="43" t="s">
        <v>449</v>
      </c>
    </row>
    <row r="84" spans="1:14" x14ac:dyDescent="0.25">
      <c r="A84" s="274" t="s">
        <v>445</v>
      </c>
      <c r="B84" s="274"/>
      <c r="C84" s="274"/>
      <c r="D84" s="274"/>
    </row>
    <row r="85" spans="1:14" x14ac:dyDescent="0.25">
      <c r="A85" s="140" t="s">
        <v>316</v>
      </c>
      <c r="B85" s="141" t="s">
        <v>2</v>
      </c>
      <c r="C85" s="141" t="s">
        <v>3</v>
      </c>
      <c r="D85" s="141" t="s">
        <v>4</v>
      </c>
      <c r="E85" s="141" t="s">
        <v>5</v>
      </c>
      <c r="F85" s="141" t="s">
        <v>6</v>
      </c>
      <c r="G85" s="141" t="s">
        <v>7</v>
      </c>
      <c r="H85" s="141" t="s">
        <v>8</v>
      </c>
      <c r="I85" s="141" t="s">
        <v>9</v>
      </c>
      <c r="J85" s="141" t="s">
        <v>10</v>
      </c>
      <c r="K85" s="141" t="s">
        <v>11</v>
      </c>
      <c r="L85" s="141" t="s">
        <v>12</v>
      </c>
      <c r="M85" s="141" t="s">
        <v>13</v>
      </c>
      <c r="N85" s="142" t="s">
        <v>14</v>
      </c>
    </row>
    <row r="86" spans="1:14" x14ac:dyDescent="0.2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</row>
    <row r="87" spans="1:14" x14ac:dyDescent="0.25">
      <c r="A87" s="142" t="s">
        <v>15</v>
      </c>
      <c r="B87" s="154">
        <f>20-6</f>
        <v>14</v>
      </c>
      <c r="C87" s="150">
        <v>15</v>
      </c>
      <c r="D87" s="150">
        <v>16</v>
      </c>
      <c r="E87" s="150">
        <v>17</v>
      </c>
      <c r="F87" s="150">
        <v>17</v>
      </c>
      <c r="G87" s="151">
        <v>18</v>
      </c>
      <c r="H87" s="150">
        <v>18</v>
      </c>
      <c r="I87" s="150">
        <v>18</v>
      </c>
      <c r="J87" s="150">
        <v>18</v>
      </c>
      <c r="K87" s="150">
        <v>18</v>
      </c>
      <c r="L87" s="150">
        <v>18</v>
      </c>
      <c r="M87" s="150">
        <v>18</v>
      </c>
      <c r="N87" s="7">
        <f>SUM(B87:M87)/12</f>
        <v>17.083333333333332</v>
      </c>
    </row>
    <row r="88" spans="1:14" x14ac:dyDescent="0.25">
      <c r="A88" s="142" t="s">
        <v>16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9">
        <f>SUM(B88:M88)/12</f>
        <v>0</v>
      </c>
    </row>
    <row r="89" spans="1:14" x14ac:dyDescent="0.25">
      <c r="A89" s="142" t="s">
        <v>17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9">
        <f>SUM(B89:M89)/12</f>
        <v>0</v>
      </c>
    </row>
    <row r="90" spans="1:14" x14ac:dyDescent="0.25">
      <c r="A90" s="142"/>
      <c r="B90" s="10"/>
      <c r="C90" s="10"/>
      <c r="D90" s="10"/>
      <c r="E90" s="10"/>
      <c r="F90" s="10"/>
      <c r="G90" s="10"/>
      <c r="H90" s="8"/>
      <c r="I90" s="10"/>
      <c r="J90" s="10"/>
      <c r="K90" s="10"/>
      <c r="L90" s="10"/>
      <c r="M90" s="10"/>
      <c r="N90" s="11"/>
    </row>
    <row r="91" spans="1:14" x14ac:dyDescent="0.25">
      <c r="A91" s="140" t="s">
        <v>446</v>
      </c>
      <c r="B91" s="3">
        <f>B87+(B89*1.5)+(B88*0.8)</f>
        <v>14</v>
      </c>
      <c r="C91" s="3">
        <f>C87+(C89*1.5)+(C88*0.8)</f>
        <v>15</v>
      </c>
      <c r="D91" s="3">
        <f>D87+(D89*1.5)+(D88*0.8)</f>
        <v>16</v>
      </c>
      <c r="E91" s="3">
        <f>E87+(E89*1.5)+(E88*0.8)</f>
        <v>17</v>
      </c>
      <c r="F91" s="3">
        <f>F87+(F89*1.5)+(F88*0.8)</f>
        <v>17</v>
      </c>
      <c r="G91" s="3">
        <f t="shared" ref="G91:M91" si="7">G87+(G89*1.5)+(G88*0.8)</f>
        <v>18</v>
      </c>
      <c r="H91" s="3">
        <f t="shared" si="7"/>
        <v>18</v>
      </c>
      <c r="I91" s="3">
        <f t="shared" si="7"/>
        <v>18</v>
      </c>
      <c r="J91" s="3">
        <f t="shared" si="7"/>
        <v>18</v>
      </c>
      <c r="K91" s="3">
        <f t="shared" si="7"/>
        <v>18</v>
      </c>
      <c r="L91" s="3">
        <f t="shared" si="7"/>
        <v>18</v>
      </c>
      <c r="M91" s="3">
        <f t="shared" si="7"/>
        <v>18</v>
      </c>
      <c r="N91" s="9">
        <f>SUM(B91:M91)/12</f>
        <v>17.083333333333332</v>
      </c>
    </row>
    <row r="92" spans="1:14" x14ac:dyDescent="0.25">
      <c r="A92" s="81" t="s">
        <v>19</v>
      </c>
      <c r="B92" s="80">
        <v>0</v>
      </c>
      <c r="C92" s="79">
        <v>1</v>
      </c>
      <c r="D92" s="79">
        <v>1</v>
      </c>
      <c r="E92" s="79">
        <v>1</v>
      </c>
      <c r="F92" s="79">
        <v>0</v>
      </c>
      <c r="G92" s="79">
        <v>1</v>
      </c>
      <c r="H92" s="79">
        <v>0</v>
      </c>
      <c r="I92" s="79"/>
      <c r="J92" s="79"/>
      <c r="K92" s="79"/>
      <c r="L92" s="79"/>
      <c r="M92" s="79"/>
      <c r="N92" s="82">
        <f>SUM(B92:M92)</f>
        <v>4</v>
      </c>
    </row>
    <row r="93" spans="1:14" x14ac:dyDescent="0.25">
      <c r="B93" s="168"/>
      <c r="C93" s="168"/>
      <c r="D93" s="23"/>
      <c r="E93" s="23"/>
      <c r="F93" s="23"/>
      <c r="G93" s="23"/>
      <c r="H93" s="269"/>
      <c r="I93" s="256" t="s">
        <v>371</v>
      </c>
      <c r="J93" s="256"/>
      <c r="K93" s="256"/>
      <c r="L93" s="240"/>
      <c r="M93" s="240"/>
    </row>
    <row r="94" spans="1:14" x14ac:dyDescent="0.25">
      <c r="B94" s="43" t="s">
        <v>38</v>
      </c>
    </row>
    <row r="96" spans="1:14" x14ac:dyDescent="0.25">
      <c r="A96" s="308"/>
      <c r="B96" s="308"/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08"/>
    </row>
    <row r="97" spans="1:14" x14ac:dyDescent="0.25">
      <c r="A97" s="155"/>
    </row>
    <row r="98" spans="1:14" x14ac:dyDescent="0.25">
      <c r="A98" s="221" t="s">
        <v>312</v>
      </c>
      <c r="B98" s="221"/>
      <c r="C98" s="221"/>
      <c r="D98" s="221"/>
    </row>
    <row r="99" spans="1:14" x14ac:dyDescent="0.25">
      <c r="A99" s="140" t="s">
        <v>55</v>
      </c>
      <c r="B99" s="141" t="s">
        <v>2</v>
      </c>
      <c r="C99" s="141" t="s">
        <v>3</v>
      </c>
      <c r="D99" s="141" t="s">
        <v>4</v>
      </c>
      <c r="E99" s="141" t="s">
        <v>5</v>
      </c>
      <c r="F99" s="141" t="s">
        <v>6</v>
      </c>
      <c r="G99" s="141" t="s">
        <v>7</v>
      </c>
      <c r="H99" s="141" t="s">
        <v>8</v>
      </c>
      <c r="I99" s="141" t="s">
        <v>9</v>
      </c>
      <c r="J99" s="141" t="s">
        <v>10</v>
      </c>
      <c r="K99" s="141" t="s">
        <v>11</v>
      </c>
      <c r="L99" s="141" t="s">
        <v>12</v>
      </c>
      <c r="M99" s="141" t="s">
        <v>13</v>
      </c>
      <c r="N99" s="142" t="s">
        <v>14</v>
      </c>
    </row>
    <row r="100" spans="1:14" x14ac:dyDescent="0.25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</row>
    <row r="101" spans="1:14" x14ac:dyDescent="0.25">
      <c r="A101" s="142" t="s">
        <v>15</v>
      </c>
      <c r="B101" s="154">
        <f>31+2-10</f>
        <v>23</v>
      </c>
      <c r="C101" s="150">
        <v>24</v>
      </c>
      <c r="D101" s="150">
        <v>25</v>
      </c>
      <c r="E101" s="150">
        <v>27</v>
      </c>
      <c r="F101" s="150">
        <v>27</v>
      </c>
      <c r="G101" s="151">
        <v>27</v>
      </c>
      <c r="H101" s="150">
        <v>27</v>
      </c>
      <c r="I101" s="150">
        <v>27</v>
      </c>
      <c r="J101" s="150">
        <v>29</v>
      </c>
      <c r="K101" s="150">
        <v>29</v>
      </c>
      <c r="L101" s="150">
        <v>31</v>
      </c>
      <c r="M101" s="150">
        <v>33</v>
      </c>
      <c r="N101" s="7">
        <f>SUM(B101:M101)/12</f>
        <v>27.416666666666668</v>
      </c>
    </row>
    <row r="102" spans="1:14" x14ac:dyDescent="0.25">
      <c r="A102" s="142" t="s">
        <v>16</v>
      </c>
      <c r="B102" s="40">
        <f>3-1</f>
        <v>2</v>
      </c>
      <c r="C102" s="40">
        <v>2</v>
      </c>
      <c r="D102" s="40">
        <v>2</v>
      </c>
      <c r="E102" s="40">
        <v>2</v>
      </c>
      <c r="F102" s="40">
        <v>2</v>
      </c>
      <c r="G102" s="40">
        <v>2</v>
      </c>
      <c r="H102" s="40">
        <v>2</v>
      </c>
      <c r="I102" s="40">
        <v>2</v>
      </c>
      <c r="J102" s="40">
        <v>2</v>
      </c>
      <c r="K102" s="40">
        <v>2</v>
      </c>
      <c r="L102" s="40">
        <v>2</v>
      </c>
      <c r="M102" s="40">
        <v>2</v>
      </c>
      <c r="N102" s="9">
        <f>SUM(B102:M102)/12</f>
        <v>2</v>
      </c>
    </row>
    <row r="103" spans="1:14" x14ac:dyDescent="0.25">
      <c r="A103" s="142" t="s">
        <v>17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9">
        <f>SUM(B103:M103)/12</f>
        <v>0</v>
      </c>
    </row>
    <row r="104" spans="1:14" x14ac:dyDescent="0.25">
      <c r="A104" s="142"/>
      <c r="B104" s="10"/>
      <c r="C104" s="10"/>
      <c r="D104" s="10"/>
      <c r="E104" s="10"/>
      <c r="F104" s="10"/>
      <c r="G104" s="10"/>
      <c r="H104" s="8"/>
      <c r="I104" s="10"/>
      <c r="J104" s="10"/>
      <c r="K104" s="10"/>
      <c r="L104" s="10"/>
      <c r="M104" s="10"/>
      <c r="N104" s="11"/>
    </row>
    <row r="105" spans="1:14" x14ac:dyDescent="0.25">
      <c r="A105" s="140" t="s">
        <v>51</v>
      </c>
      <c r="B105" s="3">
        <f>B101+(B103*1.5)+(B102*0.8)</f>
        <v>24.6</v>
      </c>
      <c r="C105" s="3">
        <f>C101+(C103*1.5)+(C102*0.8)</f>
        <v>25.6</v>
      </c>
      <c r="D105" s="3">
        <f>D101+(D103*1.5)+(D102*0.8)</f>
        <v>26.6</v>
      </c>
      <c r="E105" s="3">
        <f>E101+(E103*1.5)+(E102*0.8)</f>
        <v>28.6</v>
      </c>
      <c r="F105" s="3">
        <f>F101+(F103*1.5)+(F102*0.8)</f>
        <v>28.6</v>
      </c>
      <c r="G105" s="3">
        <f t="shared" ref="G105:M105" si="8">G101+(G103*1.5)+(G102*0.8)</f>
        <v>28.6</v>
      </c>
      <c r="H105" s="3">
        <f t="shared" si="8"/>
        <v>28.6</v>
      </c>
      <c r="I105" s="3">
        <f t="shared" si="8"/>
        <v>28.6</v>
      </c>
      <c r="J105" s="3">
        <f t="shared" si="8"/>
        <v>30.6</v>
      </c>
      <c r="K105" s="3">
        <f t="shared" si="8"/>
        <v>30.6</v>
      </c>
      <c r="L105" s="3">
        <f t="shared" si="8"/>
        <v>32.6</v>
      </c>
      <c r="M105" s="3">
        <f t="shared" si="8"/>
        <v>34.6</v>
      </c>
      <c r="N105" s="9">
        <f>SUM(B105:M105)/12</f>
        <v>29.016666666666669</v>
      </c>
    </row>
    <row r="106" spans="1:14" x14ac:dyDescent="0.25">
      <c r="A106" s="81" t="s">
        <v>19</v>
      </c>
      <c r="B106" s="80">
        <v>2</v>
      </c>
      <c r="C106" s="79">
        <v>1</v>
      </c>
      <c r="D106" s="79">
        <v>1</v>
      </c>
      <c r="E106" s="79">
        <v>2</v>
      </c>
      <c r="F106" s="79">
        <v>0</v>
      </c>
      <c r="G106" s="79">
        <v>0</v>
      </c>
      <c r="H106" s="79">
        <v>0</v>
      </c>
      <c r="I106" s="79">
        <v>0</v>
      </c>
      <c r="J106" s="79">
        <v>2</v>
      </c>
      <c r="K106" s="79">
        <v>0</v>
      </c>
      <c r="L106" s="79">
        <v>2</v>
      </c>
      <c r="M106" s="79">
        <v>2</v>
      </c>
      <c r="N106" s="82">
        <f>SUM(B106:M106)</f>
        <v>12</v>
      </c>
    </row>
    <row r="108" spans="1:14" x14ac:dyDescent="0.25">
      <c r="A108" s="250" t="s">
        <v>313</v>
      </c>
      <c r="B108" s="250"/>
      <c r="C108" s="250"/>
      <c r="D108" s="250"/>
    </row>
    <row r="109" spans="1:14" x14ac:dyDescent="0.25">
      <c r="A109" s="140" t="s">
        <v>55</v>
      </c>
      <c r="B109" s="141" t="s">
        <v>2</v>
      </c>
      <c r="C109" s="141" t="s">
        <v>3</v>
      </c>
      <c r="D109" s="141" t="s">
        <v>4</v>
      </c>
      <c r="E109" s="141" t="s">
        <v>5</v>
      </c>
      <c r="F109" s="141" t="s">
        <v>6</v>
      </c>
      <c r="G109" s="141" t="s">
        <v>7</v>
      </c>
      <c r="H109" s="141" t="s">
        <v>8</v>
      </c>
      <c r="I109" s="141" t="s">
        <v>9</v>
      </c>
      <c r="J109" s="141" t="s">
        <v>10</v>
      </c>
      <c r="K109" s="141" t="s">
        <v>11</v>
      </c>
      <c r="L109" s="141" t="s">
        <v>12</v>
      </c>
      <c r="M109" s="141" t="s">
        <v>13</v>
      </c>
      <c r="N109" s="142" t="s">
        <v>14</v>
      </c>
    </row>
    <row r="110" spans="1:14" x14ac:dyDescent="0.25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</row>
    <row r="111" spans="1:14" x14ac:dyDescent="0.25">
      <c r="A111" s="142" t="s">
        <v>15</v>
      </c>
      <c r="B111" s="154">
        <f>33-10</f>
        <v>23</v>
      </c>
      <c r="C111" s="150">
        <v>27</v>
      </c>
      <c r="D111" s="150">
        <v>28</v>
      </c>
      <c r="E111" s="150">
        <v>28</v>
      </c>
      <c r="F111" s="150">
        <v>29</v>
      </c>
      <c r="G111" s="151">
        <v>30</v>
      </c>
      <c r="H111" s="150">
        <v>30</v>
      </c>
      <c r="I111" s="150">
        <v>30</v>
      </c>
      <c r="J111" s="150">
        <v>31</v>
      </c>
      <c r="K111" s="150">
        <v>31</v>
      </c>
      <c r="L111" s="150">
        <v>32</v>
      </c>
      <c r="M111" s="150">
        <v>33</v>
      </c>
      <c r="N111" s="7">
        <f>SUM(B111:M111)/12</f>
        <v>29.333333333333332</v>
      </c>
    </row>
    <row r="112" spans="1:14" x14ac:dyDescent="0.25">
      <c r="A112" s="142" t="s">
        <v>16</v>
      </c>
      <c r="B112" s="40">
        <f>3-1</f>
        <v>2</v>
      </c>
      <c r="C112" s="40">
        <v>2</v>
      </c>
      <c r="D112" s="40">
        <v>2</v>
      </c>
      <c r="E112" s="40">
        <v>2</v>
      </c>
      <c r="F112" s="40">
        <v>2</v>
      </c>
      <c r="G112" s="40">
        <v>2</v>
      </c>
      <c r="H112" s="40">
        <v>2</v>
      </c>
      <c r="I112" s="40">
        <v>2</v>
      </c>
      <c r="J112" s="40">
        <v>2</v>
      </c>
      <c r="K112" s="40">
        <v>2</v>
      </c>
      <c r="L112" s="40">
        <v>2</v>
      </c>
      <c r="M112" s="40">
        <v>2</v>
      </c>
      <c r="N112" s="9">
        <f>SUM(B112:M112)/12</f>
        <v>2</v>
      </c>
    </row>
    <row r="113" spans="1:14" x14ac:dyDescent="0.25">
      <c r="A113" s="142" t="s">
        <v>17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9">
        <f>SUM(B113:M113)/12</f>
        <v>0</v>
      </c>
    </row>
    <row r="114" spans="1:14" x14ac:dyDescent="0.25">
      <c r="A114" s="142"/>
      <c r="B114" s="10"/>
      <c r="C114" s="10"/>
      <c r="D114" s="10"/>
      <c r="E114" s="10"/>
      <c r="F114" s="10"/>
      <c r="G114" s="10"/>
      <c r="H114" s="8"/>
      <c r="I114" s="10"/>
      <c r="J114" s="10"/>
      <c r="K114" s="10"/>
      <c r="L114" s="10"/>
      <c r="M114" s="10"/>
      <c r="N114" s="11"/>
    </row>
    <row r="115" spans="1:14" x14ac:dyDescent="0.25">
      <c r="A115" s="140" t="s">
        <v>269</v>
      </c>
      <c r="B115" s="3">
        <f>B111+(B113*1.5)+(B112*0.8)</f>
        <v>24.6</v>
      </c>
      <c r="C115" s="3">
        <f>C111+(C113*1.5)+(C112*0.8)</f>
        <v>28.6</v>
      </c>
      <c r="D115" s="3">
        <f>D111+(D113*1.5)+(D112*0.8)</f>
        <v>29.6</v>
      </c>
      <c r="E115" s="3">
        <f>E111+(E113*1.5)+(E112*0.8)</f>
        <v>29.6</v>
      </c>
      <c r="F115" s="3">
        <f>F111+(F113*1.5)+(F112*0.8)</f>
        <v>30.6</v>
      </c>
      <c r="G115" s="3">
        <f t="shared" ref="G115:M115" si="9">G111+(G113*1.5)+(G112*0.8)</f>
        <v>31.6</v>
      </c>
      <c r="H115" s="3">
        <f t="shared" si="9"/>
        <v>31.6</v>
      </c>
      <c r="I115" s="3">
        <f t="shared" si="9"/>
        <v>31.6</v>
      </c>
      <c r="J115" s="3">
        <f t="shared" si="9"/>
        <v>32.6</v>
      </c>
      <c r="K115" s="3">
        <f t="shared" si="9"/>
        <v>32.6</v>
      </c>
      <c r="L115" s="3">
        <f t="shared" si="9"/>
        <v>33.6</v>
      </c>
      <c r="M115" s="3">
        <f t="shared" si="9"/>
        <v>34.6</v>
      </c>
      <c r="N115" s="9">
        <f>SUM(B115:M115)/12</f>
        <v>30.933333333333337</v>
      </c>
    </row>
    <row r="116" spans="1:14" x14ac:dyDescent="0.25">
      <c r="A116" s="81" t="s">
        <v>19</v>
      </c>
      <c r="B116" s="80">
        <v>0</v>
      </c>
      <c r="C116" s="79">
        <v>3</v>
      </c>
      <c r="D116" s="79">
        <v>1</v>
      </c>
      <c r="E116" s="79">
        <v>0</v>
      </c>
      <c r="F116" s="79">
        <v>1</v>
      </c>
      <c r="G116" s="79">
        <v>1</v>
      </c>
      <c r="H116" s="79">
        <v>0</v>
      </c>
      <c r="I116" s="79">
        <v>0</v>
      </c>
      <c r="J116" s="79">
        <v>0</v>
      </c>
      <c r="K116" s="79">
        <v>0</v>
      </c>
      <c r="L116" s="79">
        <v>1</v>
      </c>
      <c r="M116" s="79">
        <v>0</v>
      </c>
      <c r="N116" s="82">
        <f>SUM(B116:M116)</f>
        <v>7</v>
      </c>
    </row>
    <row r="117" spans="1:14" x14ac:dyDescent="0.25">
      <c r="B117" s="43" t="s">
        <v>88</v>
      </c>
      <c r="G117" s="240" t="s">
        <v>318</v>
      </c>
      <c r="H117" s="240"/>
      <c r="I117" s="240"/>
      <c r="J117" s="240">
        <v>1</v>
      </c>
      <c r="K117" s="240"/>
      <c r="L117" s="240"/>
      <c r="M117" s="240">
        <v>1</v>
      </c>
      <c r="N117">
        <v>2</v>
      </c>
    </row>
    <row r="118" spans="1:14" x14ac:dyDescent="0.25">
      <c r="B118" s="43" t="s">
        <v>315</v>
      </c>
    </row>
    <row r="120" spans="1:14" x14ac:dyDescent="0.25">
      <c r="A120" s="251" t="s">
        <v>314</v>
      </c>
      <c r="B120" s="251"/>
      <c r="C120" s="251"/>
      <c r="D120" s="251"/>
    </row>
    <row r="121" spans="1:14" x14ac:dyDescent="0.25">
      <c r="A121" s="140" t="s">
        <v>55</v>
      </c>
      <c r="B121" s="141" t="s">
        <v>2</v>
      </c>
      <c r="C121" s="141" t="s">
        <v>3</v>
      </c>
      <c r="D121" s="141" t="s">
        <v>4</v>
      </c>
      <c r="E121" s="141" t="s">
        <v>5</v>
      </c>
      <c r="F121" s="141" t="s">
        <v>6</v>
      </c>
      <c r="G121" s="141" t="s">
        <v>7</v>
      </c>
      <c r="H121" s="141" t="s">
        <v>8</v>
      </c>
      <c r="I121" s="141" t="s">
        <v>9</v>
      </c>
      <c r="J121" s="141" t="s">
        <v>10</v>
      </c>
      <c r="K121" s="141" t="s">
        <v>11</v>
      </c>
      <c r="L121" s="141" t="s">
        <v>12</v>
      </c>
      <c r="M121" s="141" t="s">
        <v>13</v>
      </c>
      <c r="N121" s="142" t="s">
        <v>14</v>
      </c>
    </row>
    <row r="122" spans="1:14" x14ac:dyDescent="0.25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</row>
    <row r="123" spans="1:14" x14ac:dyDescent="0.25">
      <c r="A123" s="142" t="s">
        <v>15</v>
      </c>
      <c r="B123" s="154">
        <f>33-11+1</f>
        <v>23</v>
      </c>
      <c r="C123" s="150">
        <v>23</v>
      </c>
      <c r="D123" s="150">
        <v>23</v>
      </c>
      <c r="E123" s="150">
        <v>24</v>
      </c>
      <c r="F123" s="150">
        <v>26</v>
      </c>
      <c r="G123" s="151">
        <v>27</v>
      </c>
      <c r="H123" s="150">
        <v>27</v>
      </c>
      <c r="I123" s="150">
        <v>27</v>
      </c>
      <c r="J123" s="150">
        <v>28</v>
      </c>
      <c r="K123" s="150">
        <v>28</v>
      </c>
      <c r="L123" s="150">
        <v>28</v>
      </c>
      <c r="M123" s="150">
        <v>31</v>
      </c>
      <c r="N123" s="7">
        <f>SUM(B123:M123)/12</f>
        <v>26.25</v>
      </c>
    </row>
    <row r="124" spans="1:14" x14ac:dyDescent="0.25">
      <c r="A124" s="142" t="s">
        <v>16</v>
      </c>
      <c r="B124" s="40">
        <f>2-2</f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9">
        <f>SUM(B124:M124)/12</f>
        <v>0</v>
      </c>
    </row>
    <row r="125" spans="1:14" x14ac:dyDescent="0.25">
      <c r="A125" s="142" t="s">
        <v>17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9">
        <f>SUM(B125:M125)/12</f>
        <v>0</v>
      </c>
    </row>
    <row r="126" spans="1:14" x14ac:dyDescent="0.25">
      <c r="A126" s="142"/>
      <c r="B126" s="10"/>
      <c r="C126" s="10"/>
      <c r="D126" s="10"/>
      <c r="E126" s="10"/>
      <c r="F126" s="10"/>
      <c r="G126" s="10"/>
      <c r="H126" s="8"/>
      <c r="I126" s="10"/>
      <c r="J126" s="10"/>
      <c r="K126" s="10"/>
      <c r="L126" s="10"/>
      <c r="M126" s="10"/>
      <c r="N126" s="11"/>
    </row>
    <row r="127" spans="1:14" x14ac:dyDescent="0.25">
      <c r="A127" s="140" t="s">
        <v>270</v>
      </c>
      <c r="B127" s="3">
        <f>B123+(B125*1.5)+(B124*0.8)</f>
        <v>23</v>
      </c>
      <c r="C127" s="3">
        <f>C123+(C125*1.5)+(C124*0.8)</f>
        <v>23</v>
      </c>
      <c r="D127" s="3">
        <f>D123+(D125*1.5)+(D124*0.8)</f>
        <v>23</v>
      </c>
      <c r="E127" s="3">
        <f>E123+(E125*1.5)+(E124*0.8)</f>
        <v>24</v>
      </c>
      <c r="F127" s="3">
        <f>F123+(F125*1.5)+(F124*0.8)</f>
        <v>26</v>
      </c>
      <c r="G127" s="3">
        <f t="shared" ref="G127:M127" si="10">G123+(G125*1.5)+(G124*0.8)</f>
        <v>27</v>
      </c>
      <c r="H127" s="3">
        <f t="shared" si="10"/>
        <v>27</v>
      </c>
      <c r="I127" s="3">
        <f t="shared" si="10"/>
        <v>27</v>
      </c>
      <c r="J127" s="3">
        <f t="shared" si="10"/>
        <v>28</v>
      </c>
      <c r="K127" s="3">
        <f t="shared" si="10"/>
        <v>28</v>
      </c>
      <c r="L127" s="3">
        <f t="shared" si="10"/>
        <v>28</v>
      </c>
      <c r="M127" s="3">
        <f t="shared" si="10"/>
        <v>31</v>
      </c>
      <c r="N127" s="9">
        <f>SUM(B127:M127)/12</f>
        <v>26.25</v>
      </c>
    </row>
    <row r="128" spans="1:14" x14ac:dyDescent="0.25">
      <c r="A128" s="81" t="s">
        <v>19</v>
      </c>
      <c r="B128" s="80">
        <v>0</v>
      </c>
      <c r="C128" s="79">
        <v>0</v>
      </c>
      <c r="D128" s="79">
        <v>0</v>
      </c>
      <c r="E128" s="79">
        <v>1</v>
      </c>
      <c r="F128" s="79">
        <v>1</v>
      </c>
      <c r="G128" s="79">
        <v>1</v>
      </c>
      <c r="H128" s="79">
        <v>0</v>
      </c>
      <c r="I128" s="79">
        <v>0</v>
      </c>
      <c r="J128" s="79">
        <v>0</v>
      </c>
      <c r="K128" s="79">
        <v>0</v>
      </c>
      <c r="L128" s="79">
        <v>0</v>
      </c>
      <c r="M128" s="79">
        <v>1</v>
      </c>
      <c r="N128" s="82">
        <f>SUM(B128:M128)</f>
        <v>4</v>
      </c>
    </row>
    <row r="129" spans="1:14" x14ac:dyDescent="0.25">
      <c r="A129" s="253" t="s">
        <v>319</v>
      </c>
      <c r="B129" s="85">
        <v>1</v>
      </c>
      <c r="C129" s="85"/>
      <c r="D129" s="85"/>
      <c r="E129" s="85"/>
      <c r="F129" s="85">
        <v>1</v>
      </c>
      <c r="G129" s="85"/>
      <c r="H129" s="85"/>
      <c r="I129" s="85"/>
      <c r="J129" s="85">
        <v>1</v>
      </c>
      <c r="K129" s="85"/>
      <c r="L129" s="85"/>
      <c r="M129" s="85">
        <v>2</v>
      </c>
      <c r="N129">
        <v>4</v>
      </c>
    </row>
    <row r="130" spans="1:14" x14ac:dyDescent="0.25">
      <c r="B130" s="43" t="s">
        <v>129</v>
      </c>
    </row>
    <row r="131" spans="1:14" x14ac:dyDescent="0.25">
      <c r="B131" s="43" t="s">
        <v>94</v>
      </c>
    </row>
    <row r="132" spans="1:14" x14ac:dyDescent="0.25">
      <c r="B132" s="43"/>
    </row>
    <row r="133" spans="1:14" ht="18.75" x14ac:dyDescent="0.3">
      <c r="A133" s="252" t="s">
        <v>322</v>
      </c>
    </row>
    <row r="134" spans="1:14" ht="18.75" x14ac:dyDescent="0.3">
      <c r="A134" s="254" t="s">
        <v>320</v>
      </c>
    </row>
    <row r="135" spans="1:14" ht="18.75" x14ac:dyDescent="0.3">
      <c r="A135" s="254" t="s">
        <v>321</v>
      </c>
    </row>
    <row r="137" spans="1:14" x14ac:dyDescent="0.25">
      <c r="A137" s="221" t="s">
        <v>312</v>
      </c>
      <c r="B137" s="221"/>
      <c r="C137" s="221"/>
      <c r="D137" s="221"/>
    </row>
    <row r="138" spans="1:14" x14ac:dyDescent="0.25">
      <c r="A138" s="140" t="s">
        <v>316</v>
      </c>
      <c r="B138" s="141" t="s">
        <v>2</v>
      </c>
      <c r="C138" s="141" t="s">
        <v>3</v>
      </c>
      <c r="D138" s="141" t="s">
        <v>4</v>
      </c>
      <c r="E138" s="141" t="s">
        <v>5</v>
      </c>
      <c r="F138" s="141" t="s">
        <v>6</v>
      </c>
      <c r="G138" s="141" t="s">
        <v>7</v>
      </c>
      <c r="H138" s="141" t="s">
        <v>8</v>
      </c>
      <c r="I138" s="141" t="s">
        <v>9</v>
      </c>
      <c r="J138" s="141" t="s">
        <v>10</v>
      </c>
      <c r="K138" s="141" t="s">
        <v>11</v>
      </c>
      <c r="L138" s="141" t="s">
        <v>12</v>
      </c>
      <c r="M138" s="141" t="s">
        <v>13</v>
      </c>
      <c r="N138" s="142" t="s">
        <v>14</v>
      </c>
    </row>
    <row r="139" spans="1:14" x14ac:dyDescent="0.25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</row>
    <row r="140" spans="1:14" x14ac:dyDescent="0.25">
      <c r="A140" s="142" t="s">
        <v>15</v>
      </c>
      <c r="B140" s="154">
        <v>20</v>
      </c>
      <c r="C140" s="150">
        <v>20</v>
      </c>
      <c r="D140" s="150">
        <v>20</v>
      </c>
      <c r="E140" s="150">
        <v>21</v>
      </c>
      <c r="F140" s="150">
        <v>21</v>
      </c>
      <c r="G140" s="151">
        <v>22</v>
      </c>
      <c r="H140" s="150">
        <v>23</v>
      </c>
      <c r="I140" s="150">
        <v>23</v>
      </c>
      <c r="J140" s="150">
        <v>24</v>
      </c>
      <c r="K140" s="150">
        <v>24</v>
      </c>
      <c r="L140" s="150">
        <v>24</v>
      </c>
      <c r="M140" s="150">
        <v>24</v>
      </c>
      <c r="N140" s="7">
        <f>SUM(B140:M140)/12</f>
        <v>22.166666666666668</v>
      </c>
    </row>
    <row r="141" spans="1:14" x14ac:dyDescent="0.25">
      <c r="A141" s="142" t="s">
        <v>16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9">
        <f>SUM(B141:M141)/12</f>
        <v>0</v>
      </c>
    </row>
    <row r="142" spans="1:14" x14ac:dyDescent="0.25">
      <c r="A142" s="142" t="s">
        <v>17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9">
        <f>SUM(B142:M142)/12</f>
        <v>0</v>
      </c>
    </row>
    <row r="143" spans="1:14" x14ac:dyDescent="0.25">
      <c r="A143" s="142"/>
      <c r="B143" s="10"/>
      <c r="C143" s="10"/>
      <c r="D143" s="10"/>
      <c r="E143" s="10"/>
      <c r="F143" s="10"/>
      <c r="G143" s="10"/>
      <c r="H143" s="8"/>
      <c r="I143" s="10"/>
      <c r="J143" s="10"/>
      <c r="K143" s="10"/>
      <c r="L143" s="10"/>
      <c r="M143" s="10"/>
      <c r="N143" s="11"/>
    </row>
    <row r="144" spans="1:14" x14ac:dyDescent="0.25">
      <c r="A144" s="140" t="s">
        <v>51</v>
      </c>
      <c r="B144" s="3">
        <f>B140+(B142*1.5)+(B141*0.8)</f>
        <v>20</v>
      </c>
      <c r="C144" s="3">
        <f>C140+(C142*1.5)+(C141*0.8)</f>
        <v>20</v>
      </c>
      <c r="D144" s="3">
        <f>D140+(D142*1.5)+(D141*0.8)</f>
        <v>20</v>
      </c>
      <c r="E144" s="3">
        <f>E140+(E142*1.5)+(E141*0.8)</f>
        <v>21</v>
      </c>
      <c r="F144" s="3">
        <f>F140+(F142*1.5)+(F141*0.8)</f>
        <v>21</v>
      </c>
      <c r="G144" s="3">
        <f t="shared" ref="G144:M144" si="11">G140+(G142*1.5)+(G141*0.8)</f>
        <v>22</v>
      </c>
      <c r="H144" s="3">
        <f t="shared" si="11"/>
        <v>23</v>
      </c>
      <c r="I144" s="3">
        <f t="shared" si="11"/>
        <v>23</v>
      </c>
      <c r="J144" s="3">
        <f t="shared" si="11"/>
        <v>24</v>
      </c>
      <c r="K144" s="3">
        <f t="shared" si="11"/>
        <v>24</v>
      </c>
      <c r="L144" s="3">
        <f t="shared" si="11"/>
        <v>24</v>
      </c>
      <c r="M144" s="3">
        <f t="shared" si="11"/>
        <v>24</v>
      </c>
      <c r="N144" s="9">
        <f>SUM(B144:M144)/12</f>
        <v>22.166666666666668</v>
      </c>
    </row>
    <row r="145" spans="1:14" x14ac:dyDescent="0.25">
      <c r="A145" s="81" t="s">
        <v>19</v>
      </c>
      <c r="B145" s="80">
        <v>0</v>
      </c>
      <c r="C145" s="79">
        <v>0</v>
      </c>
      <c r="D145" s="79">
        <v>0</v>
      </c>
      <c r="E145" s="79">
        <v>1</v>
      </c>
      <c r="F145" s="79">
        <v>0</v>
      </c>
      <c r="G145" s="79">
        <v>1</v>
      </c>
      <c r="H145" s="79">
        <v>1</v>
      </c>
      <c r="I145" s="79">
        <v>0</v>
      </c>
      <c r="J145" s="79">
        <v>1</v>
      </c>
      <c r="K145" s="79">
        <v>0</v>
      </c>
      <c r="L145" s="79">
        <v>0</v>
      </c>
      <c r="M145" s="79">
        <v>0</v>
      </c>
      <c r="N145" s="82">
        <f>SUM(B145:M145)</f>
        <v>4</v>
      </c>
    </row>
    <row r="147" spans="1:14" x14ac:dyDescent="0.25">
      <c r="A147" s="250" t="s">
        <v>313</v>
      </c>
      <c r="B147" s="250"/>
      <c r="C147" s="250"/>
      <c r="D147" s="250"/>
    </row>
    <row r="148" spans="1:14" x14ac:dyDescent="0.25">
      <c r="A148" s="140" t="s">
        <v>316</v>
      </c>
      <c r="B148" s="141" t="s">
        <v>2</v>
      </c>
      <c r="C148" s="141" t="s">
        <v>3</v>
      </c>
      <c r="D148" s="141" t="s">
        <v>4</v>
      </c>
      <c r="E148" s="141" t="s">
        <v>5</v>
      </c>
      <c r="F148" s="141" t="s">
        <v>6</v>
      </c>
      <c r="G148" s="141" t="s">
        <v>7</v>
      </c>
      <c r="H148" s="141" t="s">
        <v>8</v>
      </c>
      <c r="I148" s="141" t="s">
        <v>9</v>
      </c>
      <c r="J148" s="141" t="s">
        <v>10</v>
      </c>
      <c r="K148" s="141" t="s">
        <v>11</v>
      </c>
      <c r="L148" s="141" t="s">
        <v>12</v>
      </c>
      <c r="M148" s="141" t="s">
        <v>13</v>
      </c>
      <c r="N148" s="142" t="s">
        <v>14</v>
      </c>
    </row>
    <row r="149" spans="1:14" x14ac:dyDescent="0.25">
      <c r="A149" s="142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</row>
    <row r="150" spans="1:14" x14ac:dyDescent="0.25">
      <c r="A150" s="142" t="s">
        <v>15</v>
      </c>
      <c r="B150" s="154">
        <f>24-13+0</f>
        <v>11</v>
      </c>
      <c r="C150" s="150">
        <v>11</v>
      </c>
      <c r="D150" s="150">
        <v>12</v>
      </c>
      <c r="E150" s="150">
        <v>12</v>
      </c>
      <c r="F150" s="150">
        <v>12</v>
      </c>
      <c r="G150" s="151">
        <v>13</v>
      </c>
      <c r="H150" s="150">
        <v>14</v>
      </c>
      <c r="I150" s="150">
        <v>14</v>
      </c>
      <c r="J150" s="150">
        <v>14</v>
      </c>
      <c r="K150" s="150">
        <v>14</v>
      </c>
      <c r="L150" s="150">
        <v>15</v>
      </c>
      <c r="M150" s="150">
        <v>15</v>
      </c>
      <c r="N150" s="7">
        <f>SUM(B150:M150)/12</f>
        <v>13.083333333333334</v>
      </c>
    </row>
    <row r="151" spans="1:14" x14ac:dyDescent="0.25">
      <c r="A151" s="142" t="s">
        <v>16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9">
        <f>SUM(B151:M151)/12</f>
        <v>0</v>
      </c>
    </row>
    <row r="152" spans="1:14" x14ac:dyDescent="0.25">
      <c r="A152" s="142" t="s">
        <v>17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9">
        <f>SUM(B152:M152)/12</f>
        <v>0</v>
      </c>
    </row>
    <row r="153" spans="1:14" x14ac:dyDescent="0.25">
      <c r="A153" s="142"/>
      <c r="B153" s="10"/>
      <c r="C153" s="10"/>
      <c r="D153" s="10"/>
      <c r="E153" s="10"/>
      <c r="F153" s="10"/>
      <c r="G153" s="10"/>
      <c r="H153" s="8"/>
      <c r="I153" s="10"/>
      <c r="J153" s="10"/>
      <c r="K153" s="10"/>
      <c r="L153" s="10"/>
      <c r="M153" s="10"/>
      <c r="N153" s="11"/>
    </row>
    <row r="154" spans="1:14" x14ac:dyDescent="0.25">
      <c r="A154" s="140" t="s">
        <v>269</v>
      </c>
      <c r="B154" s="3">
        <f>B150+(B152*1.5)+(B151*0.8)</f>
        <v>11</v>
      </c>
      <c r="C154" s="3">
        <f>C150+(C152*1.5)+(C151*0.8)</f>
        <v>11</v>
      </c>
      <c r="D154" s="3">
        <f>D150+(D152*1.5)+(D151*0.8)</f>
        <v>12</v>
      </c>
      <c r="E154" s="3">
        <f>E150+(E152*1.5)+(E151*0.8)</f>
        <v>12</v>
      </c>
      <c r="F154" s="3">
        <f>F150+(F152*1.5)+(F151*0.8)</f>
        <v>12</v>
      </c>
      <c r="G154" s="3">
        <f t="shared" ref="G154:M154" si="12">G150+(G152*1.5)+(G151*0.8)</f>
        <v>13</v>
      </c>
      <c r="H154" s="3">
        <f t="shared" si="12"/>
        <v>14</v>
      </c>
      <c r="I154" s="3">
        <f t="shared" si="12"/>
        <v>14</v>
      </c>
      <c r="J154" s="3">
        <f t="shared" si="12"/>
        <v>14</v>
      </c>
      <c r="K154" s="3">
        <f t="shared" si="12"/>
        <v>14</v>
      </c>
      <c r="L154" s="3">
        <f t="shared" si="12"/>
        <v>15</v>
      </c>
      <c r="M154" s="3">
        <f t="shared" si="12"/>
        <v>15</v>
      </c>
      <c r="N154" s="9">
        <f>SUM(B154:M154)/12</f>
        <v>13.083333333333334</v>
      </c>
    </row>
    <row r="155" spans="1:14" x14ac:dyDescent="0.25">
      <c r="A155" s="81" t="s">
        <v>19</v>
      </c>
      <c r="B155" s="80">
        <v>0</v>
      </c>
      <c r="C155" s="79">
        <v>0</v>
      </c>
      <c r="D155" s="79">
        <v>1</v>
      </c>
      <c r="E155" s="79">
        <v>0</v>
      </c>
      <c r="F155" s="79">
        <v>0</v>
      </c>
      <c r="G155" s="79">
        <v>1</v>
      </c>
      <c r="H155" s="79">
        <v>1</v>
      </c>
      <c r="I155" s="79">
        <v>0</v>
      </c>
      <c r="J155" s="79">
        <v>0</v>
      </c>
      <c r="K155" s="79">
        <v>0</v>
      </c>
      <c r="L155" s="79">
        <v>1</v>
      </c>
      <c r="M155" s="79">
        <v>0</v>
      </c>
      <c r="N155" s="82">
        <f>SUM(B155:M155)</f>
        <v>4</v>
      </c>
    </row>
    <row r="156" spans="1:14" x14ac:dyDescent="0.25">
      <c r="B156" s="43" t="s">
        <v>129</v>
      </c>
    </row>
    <row r="158" spans="1:14" x14ac:dyDescent="0.25">
      <c r="A158" s="251" t="s">
        <v>314</v>
      </c>
      <c r="B158" s="251"/>
      <c r="C158" s="251"/>
      <c r="D158" s="251"/>
    </row>
    <row r="159" spans="1:14" x14ac:dyDescent="0.25">
      <c r="A159" s="140" t="s">
        <v>316</v>
      </c>
      <c r="B159" s="141" t="s">
        <v>2</v>
      </c>
      <c r="C159" s="141" t="s">
        <v>3</v>
      </c>
      <c r="D159" s="141" t="s">
        <v>4</v>
      </c>
      <c r="E159" s="141" t="s">
        <v>5</v>
      </c>
      <c r="F159" s="141" t="s">
        <v>6</v>
      </c>
      <c r="G159" s="141" t="s">
        <v>7</v>
      </c>
      <c r="H159" s="141" t="s">
        <v>8</v>
      </c>
      <c r="I159" s="141" t="s">
        <v>9</v>
      </c>
      <c r="J159" s="141" t="s">
        <v>10</v>
      </c>
      <c r="K159" s="141" t="s">
        <v>11</v>
      </c>
      <c r="L159" s="141" t="s">
        <v>12</v>
      </c>
      <c r="M159" s="141" t="s">
        <v>13</v>
      </c>
      <c r="N159" s="142" t="s">
        <v>14</v>
      </c>
    </row>
    <row r="160" spans="1:14" x14ac:dyDescent="0.25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</row>
    <row r="161" spans="1:14" x14ac:dyDescent="0.25">
      <c r="A161" s="142" t="s">
        <v>15</v>
      </c>
      <c r="B161" s="154">
        <f>15-5+1</f>
        <v>11</v>
      </c>
      <c r="C161" s="150">
        <v>11</v>
      </c>
      <c r="D161" s="150">
        <v>11</v>
      </c>
      <c r="E161" s="150">
        <v>11</v>
      </c>
      <c r="F161" s="150">
        <v>11</v>
      </c>
      <c r="G161" s="151">
        <v>12</v>
      </c>
      <c r="H161" s="150">
        <v>12</v>
      </c>
      <c r="I161" s="150">
        <v>14</v>
      </c>
      <c r="J161" s="150">
        <v>15</v>
      </c>
      <c r="K161" s="150">
        <v>15</v>
      </c>
      <c r="L161" s="150">
        <v>15</v>
      </c>
      <c r="M161" s="150">
        <v>15</v>
      </c>
      <c r="N161" s="7">
        <f>SUM(B161:M161)/12</f>
        <v>12.75</v>
      </c>
    </row>
    <row r="162" spans="1:14" x14ac:dyDescent="0.25">
      <c r="A162" s="142" t="s">
        <v>16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9">
        <f>SUM(B162:M162)/12</f>
        <v>0</v>
      </c>
    </row>
    <row r="163" spans="1:14" x14ac:dyDescent="0.25">
      <c r="A163" s="142" t="s">
        <v>17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9">
        <f>SUM(B163:M163)/12</f>
        <v>0</v>
      </c>
    </row>
    <row r="164" spans="1:14" x14ac:dyDescent="0.25">
      <c r="A164" s="142"/>
      <c r="B164" s="10"/>
      <c r="C164" s="10"/>
      <c r="D164" s="10"/>
      <c r="E164" s="10"/>
      <c r="F164" s="10"/>
      <c r="G164" s="10"/>
      <c r="H164" s="8"/>
      <c r="I164" s="10"/>
      <c r="J164" s="10"/>
      <c r="K164" s="10"/>
      <c r="L164" s="10"/>
      <c r="M164" s="10"/>
      <c r="N164" s="11"/>
    </row>
    <row r="165" spans="1:14" x14ac:dyDescent="0.25">
      <c r="A165" s="140" t="s">
        <v>270</v>
      </c>
      <c r="B165" s="3">
        <f>B161+(B163*1.5)+(B162*0.8)</f>
        <v>11</v>
      </c>
      <c r="C165" s="3">
        <f>C161+(C163*1.5)+(C162*0.8)</f>
        <v>11</v>
      </c>
      <c r="D165" s="3">
        <f>D161+(D163*1.5)+(D162*0.8)</f>
        <v>11</v>
      </c>
      <c r="E165" s="3">
        <f>E161+(E163*1.5)+(E162*0.8)</f>
        <v>11</v>
      </c>
      <c r="F165" s="3">
        <f>F161+(F163*1.5)+(F162*0.8)</f>
        <v>11</v>
      </c>
      <c r="G165" s="3">
        <f t="shared" ref="G165:M165" si="13">G161+(G163*1.5)+(G162*0.8)</f>
        <v>12</v>
      </c>
      <c r="H165" s="3">
        <f t="shared" si="13"/>
        <v>12</v>
      </c>
      <c r="I165" s="3">
        <f t="shared" si="13"/>
        <v>14</v>
      </c>
      <c r="J165" s="3">
        <f t="shared" si="13"/>
        <v>15</v>
      </c>
      <c r="K165" s="3">
        <f t="shared" si="13"/>
        <v>15</v>
      </c>
      <c r="L165" s="3">
        <f t="shared" si="13"/>
        <v>15</v>
      </c>
      <c r="M165" s="3">
        <f t="shared" si="13"/>
        <v>15</v>
      </c>
      <c r="N165" s="9">
        <f>SUM(B165:M165)/12</f>
        <v>12.75</v>
      </c>
    </row>
    <row r="166" spans="1:14" x14ac:dyDescent="0.25">
      <c r="A166" s="81" t="s">
        <v>19</v>
      </c>
      <c r="B166" s="80">
        <v>1</v>
      </c>
      <c r="C166" s="79">
        <v>0</v>
      </c>
      <c r="D166" s="79">
        <v>0</v>
      </c>
      <c r="E166" s="79">
        <v>0</v>
      </c>
      <c r="F166" s="79">
        <v>0</v>
      </c>
      <c r="G166" s="79">
        <v>1</v>
      </c>
      <c r="H166" s="79">
        <v>0</v>
      </c>
      <c r="I166" s="79">
        <v>2</v>
      </c>
      <c r="J166" s="79">
        <v>1</v>
      </c>
      <c r="K166" s="79">
        <v>0</v>
      </c>
      <c r="L166" s="79">
        <v>0</v>
      </c>
      <c r="M166" s="79">
        <v>0</v>
      </c>
      <c r="N166" s="82">
        <f>SUM(B166:M166)</f>
        <v>5</v>
      </c>
    </row>
    <row r="167" spans="1:14" x14ac:dyDescent="0.25">
      <c r="B167" t="s">
        <v>317</v>
      </c>
    </row>
  </sheetData>
  <pageMargins left="0.11811023622047245" right="0.11811023622047245" top="0.35433070866141736" bottom="0.19685039370078741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A21" sqref="A21"/>
    </sheetView>
  </sheetViews>
  <sheetFormatPr defaultRowHeight="15" x14ac:dyDescent="0.25"/>
  <sheetData>
    <row r="1" spans="1:15" ht="21" x14ac:dyDescent="0.35">
      <c r="A1" s="245" t="s">
        <v>331</v>
      </c>
      <c r="B1" s="155"/>
    </row>
    <row r="2" spans="1:15" ht="21" x14ac:dyDescent="0.35">
      <c r="A2" s="245"/>
      <c r="B2" s="155"/>
    </row>
    <row r="3" spans="1:15" x14ac:dyDescent="0.25">
      <c r="A3" s="229" t="s">
        <v>323</v>
      </c>
      <c r="B3" s="229"/>
      <c r="C3" s="229"/>
      <c r="D3" s="229"/>
    </row>
    <row r="4" spans="1:15" s="1" customFormat="1" x14ac:dyDescent="0.25">
      <c r="A4" s="2" t="s">
        <v>271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4" t="s">
        <v>14</v>
      </c>
    </row>
    <row r="5" spans="1:15" s="1" customForma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5" s="1" customFormat="1" x14ac:dyDescent="0.25">
      <c r="A6" s="4" t="s">
        <v>15</v>
      </c>
      <c r="B6" s="5">
        <v>37</v>
      </c>
      <c r="C6" s="3">
        <v>38</v>
      </c>
      <c r="D6" s="3">
        <v>39</v>
      </c>
      <c r="E6" s="3">
        <v>40</v>
      </c>
      <c r="F6" s="3">
        <v>40</v>
      </c>
      <c r="G6" s="6">
        <v>41</v>
      </c>
      <c r="H6" s="3">
        <v>44</v>
      </c>
      <c r="I6" s="3">
        <v>44</v>
      </c>
      <c r="J6" s="3">
        <v>44</v>
      </c>
      <c r="K6" s="3">
        <v>47</v>
      </c>
      <c r="L6" s="3">
        <v>48</v>
      </c>
      <c r="M6" s="3">
        <v>51</v>
      </c>
      <c r="N6" s="7">
        <f>SUM(B6:M6)/12</f>
        <v>42.75</v>
      </c>
    </row>
    <row r="7" spans="1:15" s="1" customFormat="1" x14ac:dyDescent="0.25">
      <c r="A7" s="4" t="s">
        <v>16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>
        <f>SUM(B7:M7)/12</f>
        <v>0</v>
      </c>
    </row>
    <row r="8" spans="1:15" s="1" customFormat="1" x14ac:dyDescent="0.25">
      <c r="A8" s="4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>
        <f>SUM(B8:M8)/12</f>
        <v>0</v>
      </c>
    </row>
    <row r="9" spans="1:15" s="1" customFormat="1" x14ac:dyDescent="0.25">
      <c r="A9" s="4"/>
      <c r="B9" s="10"/>
      <c r="C9" s="10"/>
      <c r="D9" s="10"/>
      <c r="E9" s="10"/>
      <c r="F9" s="10"/>
      <c r="G9" s="10"/>
      <c r="H9" s="8"/>
      <c r="I9" s="10"/>
      <c r="J9" s="10"/>
      <c r="K9" s="10"/>
      <c r="L9" s="10"/>
      <c r="M9" s="10"/>
      <c r="N9" s="11"/>
      <c r="O9" s="12"/>
    </row>
    <row r="10" spans="1:15" s="1" customFormat="1" x14ac:dyDescent="0.25">
      <c r="A10" s="2" t="s">
        <v>51</v>
      </c>
      <c r="B10" s="3">
        <f t="shared" ref="B10:M10" si="0">B6+(B8*1.5)+(B7*0.8)</f>
        <v>37</v>
      </c>
      <c r="C10" s="3">
        <f t="shared" si="0"/>
        <v>38</v>
      </c>
      <c r="D10" s="3">
        <f t="shared" si="0"/>
        <v>39</v>
      </c>
      <c r="E10" s="3">
        <f t="shared" si="0"/>
        <v>40</v>
      </c>
      <c r="F10" s="3">
        <f t="shared" si="0"/>
        <v>40</v>
      </c>
      <c r="G10" s="3">
        <f t="shared" si="0"/>
        <v>41</v>
      </c>
      <c r="H10" s="3">
        <f t="shared" si="0"/>
        <v>44</v>
      </c>
      <c r="I10" s="3">
        <f t="shared" si="0"/>
        <v>44</v>
      </c>
      <c r="J10" s="3">
        <f t="shared" si="0"/>
        <v>44</v>
      </c>
      <c r="K10" s="3">
        <f t="shared" si="0"/>
        <v>47</v>
      </c>
      <c r="L10" s="3">
        <f t="shared" si="0"/>
        <v>48</v>
      </c>
      <c r="M10" s="3">
        <f t="shared" si="0"/>
        <v>51</v>
      </c>
      <c r="N10" s="9">
        <f>SUM(B10:M10)/12</f>
        <v>42.75</v>
      </c>
    </row>
    <row r="11" spans="1:15" s="1" customFormat="1" x14ac:dyDescent="0.25">
      <c r="A11" s="13" t="s">
        <v>19</v>
      </c>
      <c r="B11" s="14">
        <v>1</v>
      </c>
      <c r="C11" s="15">
        <v>1</v>
      </c>
      <c r="D11" s="15">
        <v>1</v>
      </c>
      <c r="E11" s="15">
        <v>1</v>
      </c>
      <c r="F11" s="15"/>
      <c r="G11" s="15">
        <v>1</v>
      </c>
      <c r="H11" s="15">
        <v>3</v>
      </c>
      <c r="I11" s="15"/>
      <c r="J11" s="15"/>
      <c r="K11" s="15">
        <v>3</v>
      </c>
      <c r="L11" s="15">
        <v>1</v>
      </c>
      <c r="M11" s="15">
        <v>3</v>
      </c>
      <c r="N11" s="16">
        <f>SUM(B11:M11)</f>
        <v>15</v>
      </c>
      <c r="O11" s="15"/>
    </row>
    <row r="12" spans="1:15" x14ac:dyDescent="0.25">
      <c r="B12" s="43"/>
      <c r="F12" s="84"/>
      <c r="G12" t="s">
        <v>325</v>
      </c>
      <c r="H12" t="s">
        <v>326</v>
      </c>
      <c r="K12" t="s">
        <v>324</v>
      </c>
      <c r="L12" t="s">
        <v>329</v>
      </c>
      <c r="M12" t="s">
        <v>324</v>
      </c>
    </row>
    <row r="13" spans="1:15" x14ac:dyDescent="0.25">
      <c r="H13" t="s">
        <v>327</v>
      </c>
      <c r="K13" t="s">
        <v>328</v>
      </c>
      <c r="M13" t="s">
        <v>330</v>
      </c>
    </row>
    <row r="16" spans="1:15" x14ac:dyDescent="0.25">
      <c r="A16" t="s">
        <v>332</v>
      </c>
    </row>
    <row r="17" spans="1:1" x14ac:dyDescent="0.25">
      <c r="A17" t="s">
        <v>333</v>
      </c>
    </row>
    <row r="18" spans="1:1" x14ac:dyDescent="0.25">
      <c r="A18" t="s">
        <v>334</v>
      </c>
    </row>
    <row r="19" spans="1:1" x14ac:dyDescent="0.25">
      <c r="A19" t="s">
        <v>335</v>
      </c>
    </row>
    <row r="21" spans="1:1" x14ac:dyDescent="0.25">
      <c r="A21" t="s">
        <v>336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"/>
  <sheetViews>
    <sheetView workbookViewId="0">
      <selection activeCell="C22" sqref="C22"/>
    </sheetView>
  </sheetViews>
  <sheetFormatPr defaultRowHeight="15" x14ac:dyDescent="0.25"/>
  <cols>
    <col min="3" max="3" width="10.42578125" customWidth="1"/>
  </cols>
  <sheetData>
    <row r="2" spans="1:15" x14ac:dyDescent="0.25">
      <c r="A2" s="35" t="s">
        <v>337</v>
      </c>
      <c r="B2" s="72"/>
      <c r="C2" s="72"/>
      <c r="D2" s="72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x14ac:dyDescent="0.25">
      <c r="A3" s="140" t="s">
        <v>132</v>
      </c>
      <c r="B3" s="141" t="s">
        <v>2</v>
      </c>
      <c r="C3" s="141" t="s">
        <v>3</v>
      </c>
      <c r="D3" s="141" t="s">
        <v>4</v>
      </c>
      <c r="E3" s="141" t="s">
        <v>5</v>
      </c>
      <c r="F3" s="141" t="s">
        <v>6</v>
      </c>
      <c r="G3" s="141" t="s">
        <v>7</v>
      </c>
      <c r="H3" s="141" t="s">
        <v>8</v>
      </c>
      <c r="I3" s="141" t="s">
        <v>9</v>
      </c>
      <c r="J3" s="141" t="s">
        <v>10</v>
      </c>
      <c r="K3" s="141" t="s">
        <v>11</v>
      </c>
      <c r="L3" s="141" t="s">
        <v>12</v>
      </c>
      <c r="M3" s="141" t="s">
        <v>13</v>
      </c>
      <c r="N3" s="142" t="s">
        <v>14</v>
      </c>
    </row>
    <row r="4" spans="1:15" x14ac:dyDescent="0.2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5" x14ac:dyDescent="0.25">
      <c r="A5" s="142" t="s">
        <v>15</v>
      </c>
      <c r="B5" s="28">
        <f>32-0.5</f>
        <v>31.5</v>
      </c>
      <c r="C5" s="54">
        <v>31</v>
      </c>
      <c r="D5" s="54">
        <v>33</v>
      </c>
      <c r="E5" s="37">
        <v>33</v>
      </c>
      <c r="F5" s="37">
        <v>33</v>
      </c>
      <c r="G5" s="38">
        <v>33</v>
      </c>
      <c r="H5" s="37">
        <v>33</v>
      </c>
      <c r="I5" s="37">
        <v>34</v>
      </c>
      <c r="J5" s="37">
        <v>34</v>
      </c>
      <c r="K5" s="37">
        <v>34</v>
      </c>
      <c r="L5" s="37">
        <v>34</v>
      </c>
      <c r="M5" s="3">
        <v>35</v>
      </c>
      <c r="N5" s="7">
        <f>SUM(B5:M5)/12</f>
        <v>33.208333333333336</v>
      </c>
    </row>
    <row r="6" spans="1:15" x14ac:dyDescent="0.25">
      <c r="A6" s="142" t="s">
        <v>16</v>
      </c>
      <c r="B6" s="29"/>
      <c r="C6" s="29"/>
      <c r="D6" s="29"/>
      <c r="E6" s="39"/>
      <c r="F6" s="39"/>
      <c r="G6" s="39"/>
      <c r="H6" s="39"/>
      <c r="I6" s="39"/>
      <c r="J6" s="39"/>
      <c r="K6" s="39"/>
      <c r="L6" s="39"/>
      <c r="M6" s="8"/>
      <c r="N6" s="9">
        <f>SUM(B6:M6)/12</f>
        <v>0</v>
      </c>
    </row>
    <row r="7" spans="1:15" x14ac:dyDescent="0.25">
      <c r="A7" s="142" t="s">
        <v>17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9">
        <f>SUM(B7:M7)/12</f>
        <v>0</v>
      </c>
    </row>
    <row r="8" spans="1:15" x14ac:dyDescent="0.25">
      <c r="A8" s="142"/>
      <c r="B8" s="10"/>
      <c r="C8" s="10"/>
      <c r="D8" s="10"/>
      <c r="E8" s="10"/>
      <c r="F8" s="10"/>
      <c r="G8" s="10"/>
      <c r="H8" s="8"/>
      <c r="I8" s="10"/>
      <c r="J8" s="10"/>
      <c r="K8" s="10"/>
      <c r="L8" s="10"/>
      <c r="M8" s="10"/>
      <c r="N8" s="11"/>
    </row>
    <row r="9" spans="1:15" x14ac:dyDescent="0.25">
      <c r="A9" s="140" t="s">
        <v>51</v>
      </c>
      <c r="B9" s="3">
        <f>B5+(B7*1.5)+(B6*0.8)</f>
        <v>31.5</v>
      </c>
      <c r="C9" s="3">
        <f>C5+(C7*1.5)+(C6*0.8)</f>
        <v>31</v>
      </c>
      <c r="D9" s="3">
        <f>D5+(D7*1.5)+(D6*0.8)</f>
        <v>33</v>
      </c>
      <c r="E9" s="3">
        <f>E5+(E7*1.5)+(E6*0.8)</f>
        <v>33</v>
      </c>
      <c r="F9" s="3">
        <f>F5+(F7*1.5)+(F6*0.8)</f>
        <v>33</v>
      </c>
      <c r="G9" s="3">
        <f t="shared" ref="G9:M9" si="0">G5+(G7*1.5)+(G6*0.8)</f>
        <v>33</v>
      </c>
      <c r="H9" s="3">
        <f t="shared" si="0"/>
        <v>33</v>
      </c>
      <c r="I9" s="3">
        <f t="shared" si="0"/>
        <v>34</v>
      </c>
      <c r="J9" s="3">
        <f t="shared" si="0"/>
        <v>34</v>
      </c>
      <c r="K9" s="3">
        <f t="shared" si="0"/>
        <v>34</v>
      </c>
      <c r="L9" s="3">
        <f t="shared" si="0"/>
        <v>34</v>
      </c>
      <c r="M9" s="3">
        <f t="shared" si="0"/>
        <v>35</v>
      </c>
      <c r="N9" s="9">
        <f>SUM(B9:M9)/12</f>
        <v>33.208333333333336</v>
      </c>
    </row>
    <row r="10" spans="1:15" x14ac:dyDescent="0.25">
      <c r="A10" s="81" t="s">
        <v>19</v>
      </c>
      <c r="B10" s="80"/>
      <c r="C10" s="79"/>
      <c r="D10" s="79">
        <v>2</v>
      </c>
      <c r="E10" s="79"/>
      <c r="F10" s="79"/>
      <c r="G10" s="79"/>
      <c r="H10" s="79"/>
      <c r="I10" s="79">
        <v>1</v>
      </c>
      <c r="J10" s="79"/>
      <c r="K10" s="79"/>
      <c r="L10" s="79"/>
      <c r="M10" s="79">
        <v>1</v>
      </c>
      <c r="N10" s="82">
        <f>SUM(B10:M10)</f>
        <v>4</v>
      </c>
      <c r="O10" s="77"/>
    </row>
    <row r="11" spans="1:15" x14ac:dyDescent="0.25">
      <c r="B11" s="84" t="s">
        <v>130</v>
      </c>
      <c r="C11" s="84"/>
      <c r="D11" s="84"/>
      <c r="E11" s="84"/>
      <c r="F11" s="84"/>
      <c r="G11" s="84"/>
      <c r="H11" s="84"/>
      <c r="J11" s="84"/>
      <c r="K11" s="84"/>
      <c r="L11" s="84"/>
      <c r="M11" s="84"/>
    </row>
    <row r="12" spans="1:15" x14ac:dyDescent="0.25">
      <c r="J12" s="43"/>
    </row>
    <row r="13" spans="1:15" x14ac:dyDescent="0.25">
      <c r="A13" s="255" t="s">
        <v>338</v>
      </c>
      <c r="B13" s="147"/>
      <c r="C13" s="147"/>
      <c r="D13" s="147"/>
      <c r="E13" s="136"/>
      <c r="F13" s="136"/>
      <c r="G13" s="136"/>
      <c r="H13" s="136"/>
      <c r="I13" s="136"/>
      <c r="J13" s="136"/>
      <c r="K13" s="136"/>
      <c r="L13" s="136"/>
      <c r="M13" s="136"/>
      <c r="N13" s="136"/>
    </row>
    <row r="14" spans="1:15" x14ac:dyDescent="0.25">
      <c r="A14" s="140" t="s">
        <v>132</v>
      </c>
      <c r="B14" s="141" t="s">
        <v>2</v>
      </c>
      <c r="C14" s="141" t="s">
        <v>3</v>
      </c>
      <c r="D14" s="141" t="s">
        <v>4</v>
      </c>
      <c r="E14" s="141" t="s">
        <v>5</v>
      </c>
      <c r="F14" s="141" t="s">
        <v>6</v>
      </c>
      <c r="G14" s="141" t="s">
        <v>7</v>
      </c>
      <c r="H14" s="141" t="s">
        <v>8</v>
      </c>
      <c r="I14" s="141" t="s">
        <v>9</v>
      </c>
      <c r="J14" s="141" t="s">
        <v>10</v>
      </c>
      <c r="K14" s="141" t="s">
        <v>11</v>
      </c>
      <c r="L14" s="141" t="s">
        <v>12</v>
      </c>
      <c r="M14" s="141" t="s">
        <v>13</v>
      </c>
      <c r="N14" s="142" t="s">
        <v>14</v>
      </c>
    </row>
    <row r="15" spans="1:15" x14ac:dyDescent="0.2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5" x14ac:dyDescent="0.25">
      <c r="A16" s="142" t="s">
        <v>15</v>
      </c>
      <c r="B16" s="107">
        <f>35-10+1</f>
        <v>26</v>
      </c>
      <c r="C16" s="107">
        <v>26</v>
      </c>
      <c r="D16" s="107">
        <v>27</v>
      </c>
      <c r="E16" s="107">
        <v>28</v>
      </c>
      <c r="F16" s="107">
        <v>28</v>
      </c>
      <c r="G16" s="108">
        <v>30</v>
      </c>
      <c r="H16" s="105">
        <v>30</v>
      </c>
      <c r="I16" s="104">
        <v>32</v>
      </c>
      <c r="J16" s="104">
        <v>33</v>
      </c>
      <c r="K16" s="104">
        <v>34</v>
      </c>
      <c r="L16" s="104">
        <v>35</v>
      </c>
      <c r="M16" s="104">
        <v>35</v>
      </c>
      <c r="N16" s="7">
        <f>SUM(B16:M16)/12</f>
        <v>30.333333333333332</v>
      </c>
    </row>
    <row r="17" spans="1:15" x14ac:dyDescent="0.25">
      <c r="A17" s="142" t="s">
        <v>16</v>
      </c>
      <c r="B17" s="107"/>
      <c r="C17" s="107"/>
      <c r="D17" s="107"/>
      <c r="E17" s="107"/>
      <c r="F17" s="107"/>
      <c r="G17" s="107"/>
      <c r="H17" s="145"/>
      <c r="I17" s="145"/>
      <c r="J17" s="145"/>
      <c r="K17" s="145"/>
      <c r="L17" s="145"/>
      <c r="M17" s="145"/>
      <c r="N17" s="9">
        <f>SUM(B17:M17)/12</f>
        <v>0</v>
      </c>
    </row>
    <row r="18" spans="1:15" x14ac:dyDescent="0.25">
      <c r="A18" s="142" t="s">
        <v>17</v>
      </c>
      <c r="B18" s="143"/>
      <c r="C18" s="143"/>
      <c r="D18" s="143"/>
      <c r="E18" s="143"/>
      <c r="F18" s="143"/>
      <c r="G18" s="145"/>
      <c r="H18" s="145"/>
      <c r="I18" s="145"/>
      <c r="J18" s="145"/>
      <c r="K18" s="145"/>
      <c r="L18" s="145"/>
      <c r="M18" s="145"/>
      <c r="N18" s="9">
        <f>SUM(B18:M18)/12</f>
        <v>0</v>
      </c>
    </row>
    <row r="19" spans="1:15" x14ac:dyDescent="0.25">
      <c r="A19" s="142"/>
      <c r="B19" s="145"/>
      <c r="C19" s="145"/>
      <c r="D19" s="145"/>
      <c r="E19" s="145"/>
      <c r="F19" s="145"/>
      <c r="G19" s="145"/>
      <c r="H19" s="143"/>
      <c r="I19" s="145"/>
      <c r="J19" s="145"/>
      <c r="K19" s="145"/>
      <c r="L19" s="145"/>
      <c r="M19" s="145"/>
      <c r="N19" s="146"/>
    </row>
    <row r="20" spans="1:15" x14ac:dyDescent="0.25">
      <c r="A20" s="140" t="s">
        <v>269</v>
      </c>
      <c r="B20" s="3">
        <f>B16+(B18*1.5)+(B17*0.8)</f>
        <v>26</v>
      </c>
      <c r="C20" s="3">
        <f t="shared" ref="C20:M20" si="1">C16+(C18*1.5)+(C17*0.8)</f>
        <v>26</v>
      </c>
      <c r="D20" s="3">
        <f t="shared" si="1"/>
        <v>27</v>
      </c>
      <c r="E20" s="3">
        <f t="shared" si="1"/>
        <v>28</v>
      </c>
      <c r="F20" s="3">
        <f t="shared" si="1"/>
        <v>28</v>
      </c>
      <c r="G20" s="3">
        <f t="shared" si="1"/>
        <v>30</v>
      </c>
      <c r="H20" s="3">
        <f t="shared" si="1"/>
        <v>30</v>
      </c>
      <c r="I20" s="3">
        <f t="shared" si="1"/>
        <v>32</v>
      </c>
      <c r="J20" s="3">
        <f t="shared" si="1"/>
        <v>33</v>
      </c>
      <c r="K20" s="3">
        <f t="shared" si="1"/>
        <v>34</v>
      </c>
      <c r="L20" s="3">
        <f t="shared" si="1"/>
        <v>35</v>
      </c>
      <c r="M20" s="3">
        <f t="shared" si="1"/>
        <v>35</v>
      </c>
      <c r="N20" s="9">
        <f>SUM(B20:M20)/12</f>
        <v>30.333333333333332</v>
      </c>
    </row>
    <row r="21" spans="1:15" x14ac:dyDescent="0.25">
      <c r="A21" s="137"/>
      <c r="B21" s="139">
        <v>1</v>
      </c>
      <c r="C21" s="139">
        <v>0</v>
      </c>
      <c r="D21" s="100">
        <v>1</v>
      </c>
      <c r="E21" s="139">
        <v>1</v>
      </c>
      <c r="F21" s="139">
        <v>0</v>
      </c>
      <c r="G21" s="139">
        <v>2</v>
      </c>
      <c r="H21" s="139">
        <v>0</v>
      </c>
      <c r="I21" s="139">
        <v>1</v>
      </c>
      <c r="J21" s="139">
        <v>1</v>
      </c>
      <c r="K21" s="139">
        <v>0</v>
      </c>
      <c r="L21" s="139">
        <v>1</v>
      </c>
      <c r="M21" s="139">
        <v>0</v>
      </c>
      <c r="N21" s="144">
        <f>SUM(B21:M21)</f>
        <v>8</v>
      </c>
    </row>
    <row r="22" spans="1:15" x14ac:dyDescent="0.25">
      <c r="A22" s="256" t="s">
        <v>340</v>
      </c>
      <c r="B22" s="257"/>
      <c r="C22" s="136"/>
      <c r="D22" s="136"/>
      <c r="E22" s="136"/>
      <c r="F22" s="136"/>
      <c r="G22" s="136"/>
      <c r="H22" s="136"/>
      <c r="I22" s="258">
        <v>1</v>
      </c>
      <c r="J22" s="258"/>
      <c r="K22" s="258">
        <v>1</v>
      </c>
      <c r="L22" s="136"/>
      <c r="M22" s="136"/>
      <c r="N22" s="144">
        <f>SUM(B22:M22)</f>
        <v>2</v>
      </c>
    </row>
    <row r="23" spans="1:15" x14ac:dyDescent="0.25">
      <c r="A23" s="260"/>
      <c r="B23" s="168" t="s">
        <v>88</v>
      </c>
      <c r="C23" s="136"/>
      <c r="D23" s="136"/>
      <c r="E23" s="136"/>
      <c r="F23" s="136"/>
      <c r="G23" s="136"/>
      <c r="H23" s="136"/>
      <c r="I23" s="258"/>
      <c r="J23" s="258"/>
      <c r="K23" s="258"/>
      <c r="L23" s="136"/>
      <c r="M23" s="136"/>
      <c r="N23" s="259"/>
    </row>
    <row r="24" spans="1:15" x14ac:dyDescent="0.25">
      <c r="A24" s="260"/>
      <c r="B24" s="168" t="s">
        <v>341</v>
      </c>
      <c r="C24" s="136"/>
      <c r="D24" s="136"/>
      <c r="E24" s="136"/>
      <c r="F24" s="136"/>
      <c r="G24" s="136"/>
      <c r="H24" s="136"/>
      <c r="I24" s="258"/>
      <c r="J24" s="258"/>
      <c r="K24" s="258"/>
      <c r="L24" s="136"/>
      <c r="M24" s="136"/>
      <c r="N24" s="259"/>
    </row>
    <row r="25" spans="1:15" x14ac:dyDescent="0.25">
      <c r="A25" s="136"/>
      <c r="B25" s="114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</row>
    <row r="26" spans="1:15" x14ac:dyDescent="0.25">
      <c r="A26" s="221" t="s">
        <v>339</v>
      </c>
      <c r="B26" s="221"/>
      <c r="C26" s="221"/>
      <c r="D26" s="221"/>
    </row>
    <row r="27" spans="1:15" s="1" customFormat="1" x14ac:dyDescent="0.25">
      <c r="A27" s="2" t="s">
        <v>132</v>
      </c>
      <c r="B27" s="3" t="s">
        <v>2</v>
      </c>
      <c r="C27" s="3" t="s">
        <v>3</v>
      </c>
      <c r="D27" s="3" t="s">
        <v>4</v>
      </c>
      <c r="E27" s="3" t="s">
        <v>5</v>
      </c>
      <c r="F27" s="3" t="s">
        <v>6</v>
      </c>
      <c r="G27" s="3" t="s">
        <v>7</v>
      </c>
      <c r="H27" s="3" t="s">
        <v>8</v>
      </c>
      <c r="I27" s="3" t="s">
        <v>9</v>
      </c>
      <c r="J27" s="3" t="s">
        <v>10</v>
      </c>
      <c r="K27" s="3" t="s">
        <v>11</v>
      </c>
      <c r="L27" s="3" t="s">
        <v>12</v>
      </c>
      <c r="M27" s="3" t="s">
        <v>13</v>
      </c>
      <c r="N27" s="4" t="s">
        <v>14</v>
      </c>
    </row>
    <row r="28" spans="1:15" s="1" customForma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5" s="1" customFormat="1" x14ac:dyDescent="0.25">
      <c r="A29" s="4" t="s">
        <v>15</v>
      </c>
      <c r="B29" s="5">
        <f>35-13+2</f>
        <v>24</v>
      </c>
      <c r="C29" s="3">
        <v>25</v>
      </c>
      <c r="D29" s="3">
        <v>28</v>
      </c>
      <c r="E29" s="3">
        <v>30</v>
      </c>
      <c r="F29" s="3">
        <v>31</v>
      </c>
      <c r="G29" s="6">
        <v>32</v>
      </c>
      <c r="H29" s="3">
        <v>33</v>
      </c>
      <c r="I29" s="3">
        <v>34</v>
      </c>
      <c r="J29" s="3">
        <v>35</v>
      </c>
      <c r="K29" s="3">
        <v>35</v>
      </c>
      <c r="L29" s="3">
        <v>36</v>
      </c>
      <c r="M29" s="3">
        <v>37</v>
      </c>
      <c r="N29" s="7">
        <f>SUM(B29:M29)/12</f>
        <v>31.666666666666668</v>
      </c>
    </row>
    <row r="30" spans="1:15" s="1" customFormat="1" x14ac:dyDescent="0.25">
      <c r="A30" s="4" t="s">
        <v>16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>
        <f>SUM(B30:M30)/12</f>
        <v>0</v>
      </c>
    </row>
    <row r="31" spans="1:15" s="1" customFormat="1" x14ac:dyDescent="0.25">
      <c r="A31" s="4" t="s">
        <v>17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9">
        <f>SUM(B31:M31)/12</f>
        <v>0</v>
      </c>
    </row>
    <row r="32" spans="1:15" s="1" customFormat="1" x14ac:dyDescent="0.25">
      <c r="A32" s="4"/>
      <c r="B32" s="10"/>
      <c r="C32" s="10"/>
      <c r="D32" s="10"/>
      <c r="E32" s="10"/>
      <c r="F32" s="10"/>
      <c r="G32" s="10"/>
      <c r="H32" s="8"/>
      <c r="I32" s="10"/>
      <c r="J32" s="10"/>
      <c r="K32" s="10"/>
      <c r="L32" s="10"/>
      <c r="M32" s="10"/>
      <c r="N32" s="11"/>
      <c r="O32" s="12"/>
    </row>
    <row r="33" spans="1:15" s="1" customFormat="1" x14ac:dyDescent="0.25">
      <c r="A33" s="2" t="s">
        <v>270</v>
      </c>
      <c r="B33" s="3">
        <f>B29+(B31*1.5)+(B30*0.8)</f>
        <v>24</v>
      </c>
      <c r="C33" s="3">
        <f>C29+(C31*1.5)+(C30*0.8)</f>
        <v>25</v>
      </c>
      <c r="D33" s="3">
        <f>D29+(D31*1.5)+(D30*0.8)</f>
        <v>28</v>
      </c>
      <c r="E33" s="3">
        <f>E29+(E31*1.5)+(E30*0.8)</f>
        <v>30</v>
      </c>
      <c r="F33" s="3">
        <f>F29+(F31*1.5)+(F30*0.8)</f>
        <v>31</v>
      </c>
      <c r="G33" s="3">
        <f t="shared" ref="G33:M33" si="2">G29+(G31*1.5)+(G30*0.8)</f>
        <v>32</v>
      </c>
      <c r="H33" s="3">
        <f t="shared" si="2"/>
        <v>33</v>
      </c>
      <c r="I33" s="3">
        <f t="shared" si="2"/>
        <v>34</v>
      </c>
      <c r="J33" s="3">
        <f t="shared" si="2"/>
        <v>35</v>
      </c>
      <c r="K33" s="3">
        <f t="shared" si="2"/>
        <v>35</v>
      </c>
      <c r="L33" s="3">
        <f t="shared" si="2"/>
        <v>36</v>
      </c>
      <c r="M33" s="3">
        <f t="shared" si="2"/>
        <v>37</v>
      </c>
      <c r="N33" s="9">
        <f>SUM(B33:M33)/12</f>
        <v>31.666666666666668</v>
      </c>
    </row>
    <row r="34" spans="1:15" s="1" customFormat="1" x14ac:dyDescent="0.25">
      <c r="A34" s="13" t="s">
        <v>19</v>
      </c>
      <c r="B34" s="14">
        <v>2</v>
      </c>
      <c r="C34" s="15">
        <v>0</v>
      </c>
      <c r="D34" s="15">
        <v>3</v>
      </c>
      <c r="E34" s="15">
        <v>2</v>
      </c>
      <c r="F34" s="15">
        <v>0</v>
      </c>
      <c r="G34" s="15">
        <v>0</v>
      </c>
      <c r="H34" s="15">
        <v>0</v>
      </c>
      <c r="I34" s="15">
        <v>1</v>
      </c>
      <c r="J34" s="15">
        <v>1</v>
      </c>
      <c r="K34" s="15">
        <v>0</v>
      </c>
      <c r="L34" s="15">
        <v>1</v>
      </c>
      <c r="M34" s="15">
        <v>1</v>
      </c>
      <c r="N34" s="144">
        <f>SUM(B34:M34)</f>
        <v>11</v>
      </c>
      <c r="O34" s="15"/>
    </row>
    <row r="35" spans="1:15" x14ac:dyDescent="0.25">
      <c r="A35" s="256" t="s">
        <v>340</v>
      </c>
      <c r="B35" s="257"/>
      <c r="C35" s="183">
        <v>1</v>
      </c>
      <c r="D35" s="183"/>
      <c r="E35" s="183"/>
      <c r="F35" s="183">
        <v>1</v>
      </c>
      <c r="G35" s="183">
        <v>1</v>
      </c>
      <c r="H35" s="183">
        <v>1</v>
      </c>
      <c r="I35" s="43"/>
      <c r="J35" s="43"/>
      <c r="K35" s="43"/>
      <c r="L35" s="43"/>
      <c r="M35" s="43"/>
      <c r="N35" s="144">
        <f>SUM(B35:M35)</f>
        <v>4</v>
      </c>
    </row>
    <row r="36" spans="1:15" x14ac:dyDescent="0.25">
      <c r="B36" s="43" t="s">
        <v>129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5" x14ac:dyDescent="0.25">
      <c r="A37" s="136"/>
      <c r="B37" s="136"/>
      <c r="C37" s="136"/>
      <c r="D37" s="136"/>
      <c r="G37" s="136"/>
      <c r="H37" s="136"/>
      <c r="I37" s="136"/>
      <c r="J37" s="136"/>
      <c r="K37" s="136"/>
      <c r="L37" s="136"/>
      <c r="M37" s="136"/>
      <c r="N37" s="136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workbookViewId="0">
      <selection activeCell="D4" sqref="D4"/>
    </sheetView>
  </sheetViews>
  <sheetFormatPr defaultRowHeight="15" x14ac:dyDescent="0.25"/>
  <cols>
    <col min="3" max="3" width="10.42578125" customWidth="1"/>
  </cols>
  <sheetData>
    <row r="2" spans="1:15" x14ac:dyDescent="0.25">
      <c r="A2" s="35" t="s">
        <v>342</v>
      </c>
      <c r="B2" s="72"/>
      <c r="C2" s="72"/>
      <c r="D2" s="72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x14ac:dyDescent="0.25">
      <c r="A3" s="140" t="s">
        <v>132</v>
      </c>
      <c r="B3" s="141" t="s">
        <v>2</v>
      </c>
      <c r="C3" s="141" t="s">
        <v>3</v>
      </c>
      <c r="D3" s="141" t="s">
        <v>4</v>
      </c>
      <c r="E3" s="141" t="s">
        <v>5</v>
      </c>
      <c r="F3" s="141" t="s">
        <v>6</v>
      </c>
      <c r="G3" s="141" t="s">
        <v>7</v>
      </c>
      <c r="H3" s="141" t="s">
        <v>8</v>
      </c>
      <c r="I3" s="141" t="s">
        <v>9</v>
      </c>
      <c r="J3" s="141" t="s">
        <v>10</v>
      </c>
      <c r="K3" s="141" t="s">
        <v>11</v>
      </c>
      <c r="L3" s="141" t="s">
        <v>12</v>
      </c>
      <c r="M3" s="141" t="s">
        <v>13</v>
      </c>
      <c r="N3" s="142" t="s">
        <v>14</v>
      </c>
    </row>
    <row r="4" spans="1:15" x14ac:dyDescent="0.2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5" x14ac:dyDescent="0.25">
      <c r="A5" s="142" t="s">
        <v>15</v>
      </c>
      <c r="B5" s="28">
        <f>32-0.5</f>
        <v>31.5</v>
      </c>
      <c r="C5" s="54">
        <v>31</v>
      </c>
      <c r="D5" s="54">
        <v>33</v>
      </c>
      <c r="E5" s="37">
        <v>33</v>
      </c>
      <c r="F5" s="37">
        <v>33</v>
      </c>
      <c r="G5" s="38">
        <v>33.5</v>
      </c>
      <c r="H5" s="37">
        <v>34</v>
      </c>
      <c r="I5" s="37">
        <v>35</v>
      </c>
      <c r="J5" s="37">
        <v>35</v>
      </c>
      <c r="K5" s="37">
        <v>35</v>
      </c>
      <c r="L5" s="37">
        <v>35</v>
      </c>
      <c r="M5" s="3">
        <v>36</v>
      </c>
      <c r="N5" s="7">
        <f>SUM(B5:M5)/12</f>
        <v>33.75</v>
      </c>
    </row>
    <row r="6" spans="1:15" x14ac:dyDescent="0.25">
      <c r="A6" s="142" t="s">
        <v>16</v>
      </c>
      <c r="B6" s="29"/>
      <c r="C6" s="29"/>
      <c r="D6" s="29"/>
      <c r="E6" s="39"/>
      <c r="F6" s="39"/>
      <c r="G6" s="39"/>
      <c r="H6" s="39"/>
      <c r="I6" s="39"/>
      <c r="J6" s="39"/>
      <c r="K6" s="39"/>
      <c r="L6" s="39"/>
      <c r="M6" s="8"/>
      <c r="N6" s="9">
        <f>SUM(B6:M6)/12</f>
        <v>0</v>
      </c>
    </row>
    <row r="7" spans="1:15" x14ac:dyDescent="0.25">
      <c r="A7" s="142" t="s">
        <v>17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9">
        <f>SUM(B7:M7)/12</f>
        <v>0</v>
      </c>
    </row>
    <row r="8" spans="1:15" x14ac:dyDescent="0.25">
      <c r="A8" s="142"/>
      <c r="B8" s="10"/>
      <c r="C8" s="10"/>
      <c r="D8" s="10"/>
      <c r="E8" s="10"/>
      <c r="F8" s="10"/>
      <c r="G8" s="10"/>
      <c r="H8" s="8"/>
      <c r="I8" s="10"/>
      <c r="J8" s="10"/>
      <c r="K8" s="10"/>
      <c r="L8" s="10"/>
      <c r="M8" s="10"/>
      <c r="N8" s="11"/>
    </row>
    <row r="9" spans="1:15" x14ac:dyDescent="0.25">
      <c r="A9" s="140" t="s">
        <v>51</v>
      </c>
      <c r="B9" s="3">
        <f>B5+(B7*1.5)+(B6*0.8)</f>
        <v>31.5</v>
      </c>
      <c r="C9" s="3">
        <f>C5+(C7*1.5)+(C6*0.8)</f>
        <v>31</v>
      </c>
      <c r="D9" s="3">
        <f>D5+(D7*1.5)+(D6*0.8)</f>
        <v>33</v>
      </c>
      <c r="E9" s="3">
        <f>E5+(E7*1.5)+(E6*0.8)</f>
        <v>33</v>
      </c>
      <c r="F9" s="3">
        <f>F5+(F7*1.5)+(F6*0.8)</f>
        <v>33</v>
      </c>
      <c r="G9" s="3">
        <f t="shared" ref="G9:M9" si="0">G5+(G7*1.5)+(G6*0.8)</f>
        <v>33.5</v>
      </c>
      <c r="H9" s="3">
        <f t="shared" si="0"/>
        <v>34</v>
      </c>
      <c r="I9" s="3">
        <f t="shared" si="0"/>
        <v>35</v>
      </c>
      <c r="J9" s="3">
        <f t="shared" si="0"/>
        <v>35</v>
      </c>
      <c r="K9" s="3">
        <f t="shared" si="0"/>
        <v>35</v>
      </c>
      <c r="L9" s="3">
        <f t="shared" si="0"/>
        <v>35</v>
      </c>
      <c r="M9" s="3">
        <f t="shared" si="0"/>
        <v>36</v>
      </c>
      <c r="N9" s="9">
        <f>SUM(B9:M9)/12</f>
        <v>33.75</v>
      </c>
    </row>
    <row r="10" spans="1:15" x14ac:dyDescent="0.25">
      <c r="A10" s="81" t="s">
        <v>19</v>
      </c>
      <c r="B10" s="80"/>
      <c r="C10" s="79"/>
      <c r="D10" s="79">
        <v>2</v>
      </c>
      <c r="E10" s="79"/>
      <c r="F10" s="79"/>
      <c r="G10" s="79"/>
      <c r="H10" s="79"/>
      <c r="I10" s="79">
        <v>1</v>
      </c>
      <c r="J10" s="79"/>
      <c r="K10" s="79"/>
      <c r="L10" s="79"/>
      <c r="M10" s="79">
        <v>1</v>
      </c>
      <c r="N10" s="82">
        <f>SUM(B10:M10)</f>
        <v>4</v>
      </c>
      <c r="O10" s="77"/>
    </row>
    <row r="11" spans="1:15" x14ac:dyDescent="0.25">
      <c r="B11" s="84" t="s">
        <v>130</v>
      </c>
      <c r="C11" s="84"/>
      <c r="D11" s="84"/>
      <c r="E11" s="84"/>
      <c r="F11" s="84"/>
      <c r="G11" s="84"/>
      <c r="H11" s="84"/>
      <c r="J11" s="84"/>
      <c r="K11" s="84"/>
      <c r="L11" s="84"/>
      <c r="M11" s="84"/>
    </row>
    <row r="12" spans="1:15" x14ac:dyDescent="0.25">
      <c r="J12" s="43"/>
    </row>
    <row r="13" spans="1:15" x14ac:dyDescent="0.25">
      <c r="A13" s="255" t="s">
        <v>343</v>
      </c>
      <c r="B13" s="147"/>
      <c r="C13" s="147"/>
      <c r="D13" s="147"/>
      <c r="E13" s="136"/>
      <c r="F13" s="136"/>
      <c r="G13" s="136"/>
      <c r="H13" s="136"/>
      <c r="I13" s="136"/>
      <c r="J13" s="136"/>
      <c r="K13" s="136"/>
      <c r="L13" s="136"/>
      <c r="M13" s="136"/>
      <c r="N13" s="136"/>
    </row>
    <row r="14" spans="1:15" x14ac:dyDescent="0.25">
      <c r="A14" s="140" t="s">
        <v>132</v>
      </c>
      <c r="B14" s="141" t="s">
        <v>2</v>
      </c>
      <c r="C14" s="141" t="s">
        <v>3</v>
      </c>
      <c r="D14" s="141" t="s">
        <v>4</v>
      </c>
      <c r="E14" s="141" t="s">
        <v>5</v>
      </c>
      <c r="F14" s="141" t="s">
        <v>6</v>
      </c>
      <c r="G14" s="141" t="s">
        <v>7</v>
      </c>
      <c r="H14" s="141" t="s">
        <v>8</v>
      </c>
      <c r="I14" s="141" t="s">
        <v>9</v>
      </c>
      <c r="J14" s="141" t="s">
        <v>10</v>
      </c>
      <c r="K14" s="141" t="s">
        <v>11</v>
      </c>
      <c r="L14" s="141" t="s">
        <v>12</v>
      </c>
      <c r="M14" s="141" t="s">
        <v>13</v>
      </c>
      <c r="N14" s="142" t="s">
        <v>14</v>
      </c>
    </row>
    <row r="15" spans="1:15" x14ac:dyDescent="0.2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5" x14ac:dyDescent="0.25">
      <c r="A16" s="142" t="s">
        <v>15</v>
      </c>
      <c r="B16" s="107">
        <f>36-10+1</f>
        <v>27</v>
      </c>
      <c r="C16" s="107">
        <v>28</v>
      </c>
      <c r="D16" s="107">
        <v>29</v>
      </c>
      <c r="E16" s="107">
        <v>30</v>
      </c>
      <c r="F16" s="107">
        <v>30</v>
      </c>
      <c r="G16" s="108">
        <v>32</v>
      </c>
      <c r="H16" s="105">
        <v>32</v>
      </c>
      <c r="I16" s="104">
        <v>32</v>
      </c>
      <c r="J16" s="104">
        <v>33</v>
      </c>
      <c r="K16" s="104">
        <v>33</v>
      </c>
      <c r="L16" s="104">
        <v>34</v>
      </c>
      <c r="M16" s="104">
        <v>34</v>
      </c>
      <c r="N16" s="7">
        <f>SUM(B16:M16)/12</f>
        <v>31.166666666666668</v>
      </c>
    </row>
    <row r="17" spans="1:15" x14ac:dyDescent="0.25">
      <c r="A17" s="142" t="s">
        <v>16</v>
      </c>
      <c r="B17" s="107"/>
      <c r="C17" s="107"/>
      <c r="D17" s="107"/>
      <c r="E17" s="107"/>
      <c r="F17" s="107"/>
      <c r="G17" s="107"/>
      <c r="H17" s="145"/>
      <c r="I17" s="145"/>
      <c r="J17" s="145"/>
      <c r="K17" s="145"/>
      <c r="L17" s="145"/>
      <c r="M17" s="145"/>
      <c r="N17" s="9">
        <f>SUM(B17:M17)/12</f>
        <v>0</v>
      </c>
    </row>
    <row r="18" spans="1:15" x14ac:dyDescent="0.25">
      <c r="A18" s="142" t="s">
        <v>17</v>
      </c>
      <c r="B18" s="143"/>
      <c r="C18" s="143"/>
      <c r="D18" s="143"/>
      <c r="E18" s="143"/>
      <c r="F18" s="143"/>
      <c r="G18" s="145"/>
      <c r="H18" s="145"/>
      <c r="I18" s="145"/>
      <c r="J18" s="145"/>
      <c r="K18" s="145"/>
      <c r="L18" s="145"/>
      <c r="M18" s="145"/>
      <c r="N18" s="9">
        <f>SUM(B18:M18)/12</f>
        <v>0</v>
      </c>
    </row>
    <row r="19" spans="1:15" x14ac:dyDescent="0.25">
      <c r="A19" s="142"/>
      <c r="B19" s="145"/>
      <c r="C19" s="145"/>
      <c r="D19" s="145"/>
      <c r="E19" s="145"/>
      <c r="F19" s="145"/>
      <c r="G19" s="145"/>
      <c r="H19" s="143"/>
      <c r="I19" s="145"/>
      <c r="J19" s="145"/>
      <c r="K19" s="145"/>
      <c r="L19" s="145"/>
      <c r="M19" s="145"/>
      <c r="N19" s="146"/>
    </row>
    <row r="20" spans="1:15" x14ac:dyDescent="0.25">
      <c r="A20" s="140" t="s">
        <v>269</v>
      </c>
      <c r="B20" s="3">
        <f>B16+(B18*1.5)+(B17*0.8)</f>
        <v>27</v>
      </c>
      <c r="C20" s="3">
        <f t="shared" ref="C20:M20" si="1">C16+(C18*1.5)+(C17*0.8)</f>
        <v>28</v>
      </c>
      <c r="D20" s="3">
        <f t="shared" si="1"/>
        <v>29</v>
      </c>
      <c r="E20" s="3">
        <f t="shared" si="1"/>
        <v>30</v>
      </c>
      <c r="F20" s="3">
        <f t="shared" si="1"/>
        <v>30</v>
      </c>
      <c r="G20" s="3">
        <f t="shared" si="1"/>
        <v>32</v>
      </c>
      <c r="H20" s="3">
        <f t="shared" si="1"/>
        <v>32</v>
      </c>
      <c r="I20" s="3">
        <f t="shared" si="1"/>
        <v>32</v>
      </c>
      <c r="J20" s="3">
        <f t="shared" si="1"/>
        <v>33</v>
      </c>
      <c r="K20" s="3">
        <f t="shared" si="1"/>
        <v>33</v>
      </c>
      <c r="L20" s="3">
        <f t="shared" si="1"/>
        <v>34</v>
      </c>
      <c r="M20" s="3">
        <f t="shared" si="1"/>
        <v>34</v>
      </c>
      <c r="N20" s="9">
        <f>SUM(B20:M20)/12</f>
        <v>31.166666666666668</v>
      </c>
    </row>
    <row r="21" spans="1:15" x14ac:dyDescent="0.25">
      <c r="A21" s="137"/>
      <c r="B21" s="139">
        <v>1</v>
      </c>
      <c r="C21" s="139">
        <v>1</v>
      </c>
      <c r="D21" s="139">
        <v>1</v>
      </c>
      <c r="E21" s="139">
        <v>1</v>
      </c>
      <c r="F21" s="139">
        <v>0</v>
      </c>
      <c r="G21" s="139">
        <v>2</v>
      </c>
      <c r="H21" s="139">
        <v>0</v>
      </c>
      <c r="I21" s="139">
        <v>0</v>
      </c>
      <c r="J21" s="139">
        <v>1</v>
      </c>
      <c r="K21" s="139">
        <v>0</v>
      </c>
      <c r="L21" s="139">
        <v>1</v>
      </c>
      <c r="M21" s="139">
        <v>0</v>
      </c>
      <c r="N21" s="144">
        <f>SUM(B21:M21)</f>
        <v>8</v>
      </c>
    </row>
    <row r="22" spans="1:15" x14ac:dyDescent="0.25">
      <c r="A22" s="260"/>
      <c r="B22" s="168" t="s">
        <v>88</v>
      </c>
      <c r="C22" s="136"/>
      <c r="D22" s="136"/>
      <c r="E22" s="136"/>
      <c r="F22" s="136"/>
      <c r="G22" s="136"/>
      <c r="H22" s="136"/>
      <c r="I22" s="258"/>
      <c r="J22" s="258"/>
      <c r="K22" s="258"/>
      <c r="L22" s="136"/>
      <c r="M22" s="136"/>
      <c r="N22" s="259"/>
    </row>
    <row r="23" spans="1:15" x14ac:dyDescent="0.25">
      <c r="A23" s="260"/>
      <c r="B23" s="168" t="s">
        <v>341</v>
      </c>
      <c r="C23" s="136"/>
      <c r="D23" s="136"/>
      <c r="E23" s="136"/>
      <c r="F23" s="136"/>
      <c r="G23" s="136"/>
      <c r="H23" s="136"/>
      <c r="I23" s="258"/>
      <c r="J23" s="258"/>
      <c r="K23" s="258"/>
      <c r="L23" s="136"/>
      <c r="M23" s="136"/>
      <c r="N23" s="259"/>
    </row>
    <row r="24" spans="1:15" x14ac:dyDescent="0.25">
      <c r="A24" s="136"/>
      <c r="B24" s="114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</row>
    <row r="25" spans="1:15" x14ac:dyDescent="0.25">
      <c r="A25" s="221" t="s">
        <v>344</v>
      </c>
      <c r="B25" s="221"/>
      <c r="C25" s="221"/>
      <c r="D25" s="221"/>
    </row>
    <row r="26" spans="1:15" s="1" customFormat="1" x14ac:dyDescent="0.25">
      <c r="A26" s="2" t="s">
        <v>132</v>
      </c>
      <c r="B26" s="3" t="s">
        <v>2</v>
      </c>
      <c r="C26" s="3" t="s">
        <v>3</v>
      </c>
      <c r="D26" s="3" t="s">
        <v>4</v>
      </c>
      <c r="E26" s="3" t="s">
        <v>5</v>
      </c>
      <c r="F26" s="3" t="s">
        <v>6</v>
      </c>
      <c r="G26" s="3" t="s">
        <v>7</v>
      </c>
      <c r="H26" s="3" t="s">
        <v>8</v>
      </c>
      <c r="I26" s="3" t="s">
        <v>9</v>
      </c>
      <c r="J26" s="3" t="s">
        <v>10</v>
      </c>
      <c r="K26" s="3" t="s">
        <v>11</v>
      </c>
      <c r="L26" s="3" t="s">
        <v>12</v>
      </c>
      <c r="M26" s="3" t="s">
        <v>13</v>
      </c>
      <c r="N26" s="4" t="s">
        <v>14</v>
      </c>
    </row>
    <row r="27" spans="1:15" s="1" customForma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5" s="1" customFormat="1" x14ac:dyDescent="0.25">
      <c r="A28" s="4" t="s">
        <v>15</v>
      </c>
      <c r="B28" s="5">
        <f>34-13+2</f>
        <v>23</v>
      </c>
      <c r="C28" s="3">
        <v>24</v>
      </c>
      <c r="D28" s="3">
        <v>27</v>
      </c>
      <c r="E28" s="3">
        <v>29</v>
      </c>
      <c r="F28" s="3">
        <v>29</v>
      </c>
      <c r="G28" s="6">
        <v>29</v>
      </c>
      <c r="H28" s="3">
        <v>29</v>
      </c>
      <c r="I28" s="3">
        <v>30</v>
      </c>
      <c r="J28" s="3">
        <v>31</v>
      </c>
      <c r="K28" s="3">
        <v>31</v>
      </c>
      <c r="L28" s="3">
        <v>33</v>
      </c>
      <c r="M28" s="3">
        <v>33</v>
      </c>
      <c r="N28" s="7">
        <f>SUM(B28:M28)/12</f>
        <v>29</v>
      </c>
    </row>
    <row r="29" spans="1:15" s="1" customFormat="1" x14ac:dyDescent="0.25">
      <c r="A29" s="4" t="s">
        <v>16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>
        <f>SUM(B29:M29)/12</f>
        <v>0</v>
      </c>
    </row>
    <row r="30" spans="1:15" s="1" customFormat="1" x14ac:dyDescent="0.25">
      <c r="A30" s="4" t="s">
        <v>17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9">
        <f>SUM(B30:M30)/12</f>
        <v>0</v>
      </c>
    </row>
    <row r="31" spans="1:15" s="1" customFormat="1" x14ac:dyDescent="0.25">
      <c r="A31" s="4"/>
      <c r="B31" s="10"/>
      <c r="C31" s="10"/>
      <c r="D31" s="10"/>
      <c r="E31" s="10"/>
      <c r="F31" s="10"/>
      <c r="G31" s="10"/>
      <c r="H31" s="8"/>
      <c r="I31" s="10"/>
      <c r="J31" s="10"/>
      <c r="K31" s="10"/>
      <c r="L31" s="10"/>
      <c r="M31" s="10"/>
      <c r="N31" s="11"/>
      <c r="O31" s="12"/>
    </row>
    <row r="32" spans="1:15" s="1" customFormat="1" x14ac:dyDescent="0.25">
      <c r="A32" s="2" t="s">
        <v>270</v>
      </c>
      <c r="B32" s="3">
        <f>B28+(B30*1.5)+(B29*0.8)</f>
        <v>23</v>
      </c>
      <c r="C32" s="3">
        <f>C28+(C30*1.5)+(C29*0.8)</f>
        <v>24</v>
      </c>
      <c r="D32" s="3">
        <f>D28+(D30*1.5)+(D29*0.8)</f>
        <v>27</v>
      </c>
      <c r="E32" s="3">
        <f>E28+(E30*1.5)+(E29*0.8)</f>
        <v>29</v>
      </c>
      <c r="F32" s="3">
        <f>F28+(F30*1.5)+(F29*0.8)</f>
        <v>29</v>
      </c>
      <c r="G32" s="3">
        <f t="shared" ref="G32:M32" si="2">G28+(G30*1.5)+(G29*0.8)</f>
        <v>29</v>
      </c>
      <c r="H32" s="3">
        <f t="shared" si="2"/>
        <v>29</v>
      </c>
      <c r="I32" s="3">
        <f t="shared" si="2"/>
        <v>30</v>
      </c>
      <c r="J32" s="3">
        <f t="shared" si="2"/>
        <v>31</v>
      </c>
      <c r="K32" s="3">
        <f t="shared" si="2"/>
        <v>31</v>
      </c>
      <c r="L32" s="3">
        <f t="shared" si="2"/>
        <v>33</v>
      </c>
      <c r="M32" s="3">
        <f t="shared" si="2"/>
        <v>33</v>
      </c>
      <c r="N32" s="9">
        <f>SUM(B32:M32)/12</f>
        <v>29</v>
      </c>
    </row>
    <row r="33" spans="1:15" s="1" customFormat="1" x14ac:dyDescent="0.25">
      <c r="A33" s="13" t="s">
        <v>19</v>
      </c>
      <c r="B33" s="14">
        <v>2</v>
      </c>
      <c r="C33" s="15">
        <v>0</v>
      </c>
      <c r="D33" s="15">
        <v>3</v>
      </c>
      <c r="E33" s="15">
        <v>2</v>
      </c>
      <c r="F33" s="15">
        <v>0</v>
      </c>
      <c r="G33" s="15">
        <v>0</v>
      </c>
      <c r="H33" s="15">
        <v>0</v>
      </c>
      <c r="I33" s="15">
        <v>1</v>
      </c>
      <c r="J33" s="15">
        <v>1</v>
      </c>
      <c r="K33" s="15">
        <v>0</v>
      </c>
      <c r="L33" s="15">
        <v>1</v>
      </c>
      <c r="M33" s="15">
        <v>0</v>
      </c>
      <c r="N33" s="144">
        <f>SUM(B33:M33)</f>
        <v>10</v>
      </c>
      <c r="O33" s="15"/>
    </row>
    <row r="34" spans="1:15" x14ac:dyDescent="0.25">
      <c r="A34" s="256" t="s">
        <v>340</v>
      </c>
      <c r="B34" s="257"/>
      <c r="C34" s="183">
        <v>1</v>
      </c>
      <c r="D34" s="183"/>
      <c r="E34" s="183"/>
      <c r="F34" s="183"/>
      <c r="G34" s="183"/>
      <c r="H34" s="183"/>
      <c r="I34" s="43"/>
      <c r="J34" s="43"/>
      <c r="K34" s="43"/>
      <c r="L34" s="43">
        <v>1</v>
      </c>
      <c r="M34" s="43"/>
      <c r="N34" s="144">
        <f>SUM(B34:M34)</f>
        <v>2</v>
      </c>
    </row>
    <row r="35" spans="1:15" x14ac:dyDescent="0.25">
      <c r="B35" s="43" t="s">
        <v>129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5" x14ac:dyDescent="0.25">
      <c r="A36" s="136"/>
      <c r="B36" s="136"/>
      <c r="C36" s="136"/>
      <c r="D36" s="136"/>
      <c r="G36" s="136"/>
      <c r="H36" s="136"/>
      <c r="I36" s="136"/>
      <c r="J36" s="136"/>
      <c r="K36" s="136"/>
      <c r="L36" s="136"/>
      <c r="M36" s="136"/>
      <c r="N36" s="136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"/>
  <sheetViews>
    <sheetView workbookViewId="0">
      <selection activeCell="J28" sqref="I28:J28"/>
    </sheetView>
  </sheetViews>
  <sheetFormatPr defaultRowHeight="15" x14ac:dyDescent="0.25"/>
  <sheetData>
    <row r="2" spans="1:15" x14ac:dyDescent="0.25">
      <c r="A2" s="35" t="s">
        <v>309</v>
      </c>
      <c r="B2" s="72"/>
      <c r="C2" s="72"/>
      <c r="D2" s="72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x14ac:dyDescent="0.25">
      <c r="A3" s="140"/>
      <c r="B3" s="141" t="s">
        <v>2</v>
      </c>
      <c r="C3" s="141" t="s">
        <v>3</v>
      </c>
      <c r="D3" s="141" t="s">
        <v>4</v>
      </c>
      <c r="E3" s="141" t="s">
        <v>5</v>
      </c>
      <c r="F3" s="141" t="s">
        <v>6</v>
      </c>
      <c r="G3" s="141" t="s">
        <v>7</v>
      </c>
      <c r="H3" s="141" t="s">
        <v>8</v>
      </c>
      <c r="I3" s="141" t="s">
        <v>9</v>
      </c>
      <c r="J3" s="141" t="s">
        <v>10</v>
      </c>
      <c r="K3" s="141" t="s">
        <v>11</v>
      </c>
      <c r="L3" s="141" t="s">
        <v>12</v>
      </c>
      <c r="M3" s="141" t="s">
        <v>13</v>
      </c>
      <c r="N3" s="142" t="s">
        <v>14</v>
      </c>
      <c r="O3" s="77"/>
    </row>
    <row r="4" spans="1:15" x14ac:dyDescent="0.2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77"/>
    </row>
    <row r="5" spans="1:15" x14ac:dyDescent="0.25">
      <c r="A5" s="142" t="s">
        <v>15</v>
      </c>
      <c r="B5" s="28">
        <f>128+4+0.25</f>
        <v>132.25</v>
      </c>
      <c r="C5" s="54">
        <f>133+8+0.5-0.5</f>
        <v>141</v>
      </c>
      <c r="D5" s="54">
        <f>141-2+1</f>
        <v>140</v>
      </c>
      <c r="E5" s="37">
        <f>140+3+0.75-0.5</f>
        <v>143.25</v>
      </c>
      <c r="F5" s="37">
        <f>143+6</f>
        <v>149</v>
      </c>
      <c r="G5" s="38">
        <v>151</v>
      </c>
      <c r="H5" s="37">
        <v>153</v>
      </c>
      <c r="I5" s="37">
        <v>155</v>
      </c>
      <c r="J5" s="37">
        <v>159</v>
      </c>
      <c r="K5" s="37">
        <f>159-(58*0.5)+2</f>
        <v>132</v>
      </c>
      <c r="L5" s="37">
        <f>159-58+2+2</f>
        <v>105</v>
      </c>
      <c r="M5" s="3">
        <v>110</v>
      </c>
      <c r="N5" s="7">
        <f>SUM(B5:M5)/12</f>
        <v>139.20833333333334</v>
      </c>
      <c r="O5" s="77"/>
    </row>
    <row r="6" spans="1:15" x14ac:dyDescent="0.25">
      <c r="A6" s="142" t="s">
        <v>16</v>
      </c>
      <c r="B6" s="29">
        <v>1</v>
      </c>
      <c r="C6" s="29">
        <v>1</v>
      </c>
      <c r="D6" s="29">
        <v>1</v>
      </c>
      <c r="E6" s="39">
        <v>1</v>
      </c>
      <c r="F6" s="39">
        <v>1</v>
      </c>
      <c r="G6" s="39">
        <v>1</v>
      </c>
      <c r="H6" s="39">
        <v>1</v>
      </c>
      <c r="I6" s="39">
        <v>1</v>
      </c>
      <c r="J6" s="39">
        <v>1</v>
      </c>
      <c r="K6" s="39">
        <f>1-0.5</f>
        <v>0.5</v>
      </c>
      <c r="L6" s="39">
        <v>0</v>
      </c>
      <c r="M6" s="8">
        <v>0</v>
      </c>
      <c r="N6" s="9">
        <f>SUM(B6:M6)/12</f>
        <v>0.79166666666666663</v>
      </c>
      <c r="O6" s="77"/>
    </row>
    <row r="7" spans="1:15" x14ac:dyDescent="0.25">
      <c r="A7" s="142" t="s">
        <v>17</v>
      </c>
      <c r="B7" s="30"/>
      <c r="C7" s="30"/>
      <c r="D7" s="30"/>
      <c r="E7" s="40"/>
      <c r="F7" s="40"/>
      <c r="G7" s="40"/>
      <c r="H7" s="40"/>
      <c r="I7" s="40"/>
      <c r="J7" s="40"/>
      <c r="K7" s="40"/>
      <c r="L7" s="40"/>
      <c r="M7" s="10"/>
      <c r="N7" s="9">
        <f>SUM(B7:M7)/12</f>
        <v>0</v>
      </c>
      <c r="O7" s="77"/>
    </row>
    <row r="8" spans="1:15" x14ac:dyDescent="0.25">
      <c r="A8" s="142"/>
      <c r="B8" s="10"/>
      <c r="C8" s="10"/>
      <c r="D8" s="10"/>
      <c r="E8" s="10"/>
      <c r="F8" s="10"/>
      <c r="G8" s="10"/>
      <c r="H8" s="8"/>
      <c r="I8" s="10"/>
      <c r="J8" s="10"/>
      <c r="K8" s="10"/>
      <c r="L8" s="10"/>
      <c r="M8" s="10"/>
      <c r="N8" s="11"/>
      <c r="O8" s="78"/>
    </row>
    <row r="9" spans="1:15" x14ac:dyDescent="0.25">
      <c r="A9" s="140" t="s">
        <v>51</v>
      </c>
      <c r="B9" s="3">
        <f>B5+(B7*1.5)+(B6*0.8)</f>
        <v>133.05000000000001</v>
      </c>
      <c r="C9" s="3">
        <f>C5+(C7*1.5)+(C6*0.8)</f>
        <v>141.80000000000001</v>
      </c>
      <c r="D9" s="3">
        <f>D5+(D7*1.5)+(D6*0.8)</f>
        <v>140.80000000000001</v>
      </c>
      <c r="E9" s="3">
        <f>E5+(E7*1.5)+(E6*0.8)</f>
        <v>144.05000000000001</v>
      </c>
      <c r="F9" s="3">
        <f>F5+(F7*1.5)+(F6*0.8)</f>
        <v>149.80000000000001</v>
      </c>
      <c r="G9" s="3">
        <f t="shared" ref="G9:M9" si="0">G5+(G7*1.5)+(G6*0.8)</f>
        <v>151.80000000000001</v>
      </c>
      <c r="H9" s="3">
        <f t="shared" si="0"/>
        <v>153.80000000000001</v>
      </c>
      <c r="I9" s="3">
        <f t="shared" si="0"/>
        <v>155.80000000000001</v>
      </c>
      <c r="J9" s="3">
        <f t="shared" si="0"/>
        <v>159.80000000000001</v>
      </c>
      <c r="K9" s="3">
        <f t="shared" si="0"/>
        <v>132.4</v>
      </c>
      <c r="L9" s="3">
        <f t="shared" si="0"/>
        <v>105</v>
      </c>
      <c r="M9" s="3">
        <f t="shared" si="0"/>
        <v>110</v>
      </c>
      <c r="N9" s="9">
        <f>SUM(B9:M9)/12</f>
        <v>139.84166666666667</v>
      </c>
      <c r="O9" s="77"/>
    </row>
    <row r="11" spans="1:15" x14ac:dyDescent="0.25">
      <c r="A11" s="262" t="s">
        <v>153</v>
      </c>
      <c r="B11" s="212">
        <v>5</v>
      </c>
      <c r="C11" s="213">
        <v>9</v>
      </c>
      <c r="D11" s="213">
        <v>1</v>
      </c>
      <c r="E11" s="213">
        <v>4</v>
      </c>
      <c r="F11" s="213">
        <v>6</v>
      </c>
      <c r="G11" s="213">
        <v>2</v>
      </c>
      <c r="H11" s="213">
        <v>2</v>
      </c>
      <c r="I11" s="213">
        <v>2</v>
      </c>
      <c r="J11" s="213">
        <v>4</v>
      </c>
      <c r="K11" s="213">
        <v>2</v>
      </c>
      <c r="L11" s="213">
        <v>2</v>
      </c>
      <c r="M11" s="213">
        <v>5</v>
      </c>
      <c r="N11" s="264">
        <f>SUM(B11:M11)</f>
        <v>44</v>
      </c>
      <c r="O11" s="77"/>
    </row>
    <row r="12" spans="1:15" x14ac:dyDescent="0.25">
      <c r="A12" s="263"/>
      <c r="B12" s="212" t="s">
        <v>345</v>
      </c>
      <c r="C12" s="213" t="s">
        <v>346</v>
      </c>
      <c r="D12" s="213" t="s">
        <v>217</v>
      </c>
      <c r="E12" s="265" t="s">
        <v>349</v>
      </c>
      <c r="F12" s="213"/>
      <c r="G12" s="213"/>
      <c r="H12" s="213"/>
      <c r="I12" s="213"/>
      <c r="J12" s="213"/>
      <c r="K12" s="213" t="s">
        <v>350</v>
      </c>
      <c r="L12" s="206"/>
      <c r="M12" s="213"/>
      <c r="N12" s="264"/>
      <c r="O12" s="77"/>
    </row>
    <row r="13" spans="1:15" x14ac:dyDescent="0.25">
      <c r="B13" s="206"/>
      <c r="C13" s="266" t="s">
        <v>347</v>
      </c>
      <c r="D13" s="206"/>
      <c r="E13" s="213" t="s">
        <v>348</v>
      </c>
      <c r="F13" s="206"/>
      <c r="G13" s="206"/>
      <c r="H13" s="267"/>
      <c r="I13" s="268"/>
      <c r="J13" s="235"/>
      <c r="K13" s="261"/>
      <c r="L13" s="235"/>
      <c r="M13" s="206"/>
    </row>
    <row r="15" spans="1:15" x14ac:dyDescent="0.25">
      <c r="A15" s="35" t="s">
        <v>351</v>
      </c>
      <c r="B15" s="72"/>
      <c r="C15" s="72"/>
      <c r="D15" s="72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</row>
    <row r="16" spans="1:15" x14ac:dyDescent="0.25">
      <c r="A16" s="140"/>
      <c r="B16" s="141" t="s">
        <v>2</v>
      </c>
      <c r="C16" s="141" t="s">
        <v>3</v>
      </c>
      <c r="D16" s="141" t="s">
        <v>4</v>
      </c>
      <c r="E16" s="141" t="s">
        <v>5</v>
      </c>
      <c r="F16" s="141" t="s">
        <v>6</v>
      </c>
      <c r="G16" s="141" t="s">
        <v>7</v>
      </c>
      <c r="H16" s="141" t="s">
        <v>8</v>
      </c>
      <c r="I16" s="141" t="s">
        <v>9</v>
      </c>
      <c r="J16" s="141" t="s">
        <v>10</v>
      </c>
      <c r="K16" s="141" t="s">
        <v>11</v>
      </c>
      <c r="L16" s="141" t="s">
        <v>12</v>
      </c>
      <c r="M16" s="141" t="s">
        <v>13</v>
      </c>
      <c r="N16" s="142" t="s">
        <v>14</v>
      </c>
      <c r="O16" s="77"/>
    </row>
    <row r="17" spans="1:15" x14ac:dyDescent="0.2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77"/>
    </row>
    <row r="18" spans="1:15" x14ac:dyDescent="0.25">
      <c r="A18" s="142" t="s">
        <v>15</v>
      </c>
      <c r="B18" s="153">
        <v>111</v>
      </c>
      <c r="C18" s="37">
        <v>114</v>
      </c>
      <c r="D18" s="37">
        <v>122</v>
      </c>
      <c r="E18" s="37">
        <v>122</v>
      </c>
      <c r="F18" s="37">
        <v>130</v>
      </c>
      <c r="G18" s="38">
        <v>133</v>
      </c>
      <c r="H18" s="37">
        <v>135</v>
      </c>
      <c r="I18" s="37">
        <v>136</v>
      </c>
      <c r="J18" s="37">
        <v>137</v>
      </c>
      <c r="K18" s="37">
        <f>137+8-(41*0.5)</f>
        <v>124.5</v>
      </c>
      <c r="L18" s="37">
        <f>137-41+8+3</f>
        <v>107</v>
      </c>
      <c r="M18" s="3">
        <v>111</v>
      </c>
      <c r="N18" s="7">
        <f>SUM(B18:M18)/12</f>
        <v>123.54166666666667</v>
      </c>
      <c r="O18" s="77"/>
    </row>
    <row r="19" spans="1:15" x14ac:dyDescent="0.25">
      <c r="A19" s="142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8"/>
      <c r="N19" s="9">
        <f>SUM(B19:M19)/12</f>
        <v>0</v>
      </c>
      <c r="O19" s="77"/>
    </row>
    <row r="20" spans="1:15" x14ac:dyDescent="0.25">
      <c r="A20" s="142" t="s">
        <v>17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10"/>
      <c r="N20" s="9">
        <f>SUM(B20:M20)/12</f>
        <v>0</v>
      </c>
      <c r="O20" s="77"/>
    </row>
    <row r="21" spans="1:15" x14ac:dyDescent="0.25">
      <c r="A21" s="142"/>
      <c r="B21" s="10"/>
      <c r="C21" s="10"/>
      <c r="D21" s="10"/>
      <c r="E21" s="10"/>
      <c r="F21" s="10"/>
      <c r="G21" s="10"/>
      <c r="H21" s="8"/>
      <c r="I21" s="10"/>
      <c r="J21" s="10"/>
      <c r="K21" s="10"/>
      <c r="L21" s="10"/>
      <c r="M21" s="10"/>
      <c r="N21" s="11"/>
      <c r="O21" s="78"/>
    </row>
    <row r="22" spans="1:15" x14ac:dyDescent="0.25">
      <c r="A22" s="140" t="s">
        <v>269</v>
      </c>
      <c r="B22" s="3">
        <f>B18+(B20*1.5)+(B19*0.8)</f>
        <v>111</v>
      </c>
      <c r="C22" s="3">
        <f>C18+(C20*1.5)+(C19*0.8)</f>
        <v>114</v>
      </c>
      <c r="D22" s="3">
        <f>D18+(D20*1.5)+(D19*0.8)</f>
        <v>122</v>
      </c>
      <c r="E22" s="3">
        <f>E18+(E20*1.5)+(E19*0.8)</f>
        <v>122</v>
      </c>
      <c r="F22" s="3">
        <f>F18+(F20*1.5)+(F19*0.8)</f>
        <v>130</v>
      </c>
      <c r="G22" s="3">
        <f t="shared" ref="G22:M22" si="1">G18+(G20*1.5)+(G19*0.8)</f>
        <v>133</v>
      </c>
      <c r="H22" s="3">
        <f t="shared" si="1"/>
        <v>135</v>
      </c>
      <c r="I22" s="3">
        <f t="shared" si="1"/>
        <v>136</v>
      </c>
      <c r="J22" s="3">
        <f t="shared" si="1"/>
        <v>137</v>
      </c>
      <c r="K22" s="3">
        <f t="shared" si="1"/>
        <v>124.5</v>
      </c>
      <c r="L22" s="3">
        <f t="shared" si="1"/>
        <v>107</v>
      </c>
      <c r="M22" s="3">
        <f t="shared" si="1"/>
        <v>111</v>
      </c>
      <c r="N22" s="9">
        <f>SUM(B22:M22)/12</f>
        <v>123.54166666666667</v>
      </c>
      <c r="O22" s="77"/>
    </row>
    <row r="24" spans="1:15" x14ac:dyDescent="0.25">
      <c r="A24" s="262" t="s">
        <v>153</v>
      </c>
      <c r="B24" s="212">
        <v>1</v>
      </c>
      <c r="C24" s="213">
        <v>3</v>
      </c>
      <c r="D24" s="213">
        <v>8</v>
      </c>
      <c r="E24" s="213">
        <v>0</v>
      </c>
      <c r="F24" s="213">
        <v>8</v>
      </c>
      <c r="G24" s="213">
        <v>3</v>
      </c>
      <c r="H24" s="213">
        <v>2</v>
      </c>
      <c r="I24" s="213">
        <v>1</v>
      </c>
      <c r="J24" s="213">
        <v>1</v>
      </c>
      <c r="K24" s="213">
        <v>8</v>
      </c>
      <c r="L24" s="213">
        <v>3</v>
      </c>
      <c r="M24" s="213">
        <v>4</v>
      </c>
      <c r="N24" s="264">
        <f>SUM(B24:M24)</f>
        <v>42</v>
      </c>
      <c r="O24" s="77"/>
    </row>
    <row r="25" spans="1:15" x14ac:dyDescent="0.25">
      <c r="A25" s="263"/>
      <c r="B25" s="212"/>
      <c r="C25" s="213"/>
      <c r="D25" s="213"/>
      <c r="E25" s="265"/>
      <c r="F25" s="213"/>
      <c r="G25" s="213"/>
      <c r="H25" s="213"/>
      <c r="I25" s="213"/>
      <c r="J25" s="213"/>
      <c r="K25" s="213" t="s">
        <v>352</v>
      </c>
      <c r="L25" s="206"/>
      <c r="M25" s="213"/>
      <c r="N25" s="264"/>
      <c r="O25" s="77"/>
    </row>
    <row r="26" spans="1:15" x14ac:dyDescent="0.25">
      <c r="B26" s="206"/>
      <c r="C26" s="266"/>
      <c r="D26" s="206"/>
      <c r="E26" s="213"/>
      <c r="F26" s="206"/>
      <c r="G26" s="206"/>
      <c r="H26" s="267"/>
      <c r="I26" s="268"/>
      <c r="J26" s="235"/>
      <c r="K26" s="261"/>
      <c r="L26" s="235"/>
      <c r="M26" s="206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A2" sqref="A2:XFD48"/>
    </sheetView>
  </sheetViews>
  <sheetFormatPr defaultRowHeight="15" x14ac:dyDescent="0.25"/>
  <sheetData>
    <row r="1" spans="1:15" x14ac:dyDescent="0.25">
      <c r="A1" s="172"/>
      <c r="B1" s="243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5" ht="21" x14ac:dyDescent="0.35">
      <c r="A2" s="244" t="s">
        <v>268</v>
      </c>
      <c r="B2" s="243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4" spans="1:15" x14ac:dyDescent="0.25">
      <c r="A4" s="229" t="s">
        <v>365</v>
      </c>
      <c r="B4" s="229"/>
      <c r="C4" s="229"/>
      <c r="D4" s="229"/>
    </row>
    <row r="5" spans="1:15" s="1" customFormat="1" x14ac:dyDescent="0.25">
      <c r="A5" s="2" t="s">
        <v>42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4" t="s">
        <v>14</v>
      </c>
    </row>
    <row r="6" spans="1:15" s="1" customForma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" customFormat="1" x14ac:dyDescent="0.25">
      <c r="A7" s="4" t="s">
        <v>15</v>
      </c>
      <c r="B7" s="5">
        <f>41-11+1</f>
        <v>31</v>
      </c>
      <c r="C7" s="3">
        <v>31</v>
      </c>
      <c r="D7" s="3">
        <v>31</v>
      </c>
      <c r="E7" s="3">
        <v>31</v>
      </c>
      <c r="F7" s="3">
        <v>31</v>
      </c>
      <c r="G7" s="6">
        <v>33</v>
      </c>
      <c r="H7" s="3">
        <v>33</v>
      </c>
      <c r="I7" s="3">
        <v>33</v>
      </c>
      <c r="J7" s="3">
        <v>33</v>
      </c>
      <c r="K7" s="3">
        <v>34</v>
      </c>
      <c r="L7" s="3">
        <v>34</v>
      </c>
      <c r="M7" s="3">
        <v>34</v>
      </c>
      <c r="N7" s="7">
        <f>SUM(B7:M7)/12</f>
        <v>32.416666666666664</v>
      </c>
    </row>
    <row r="8" spans="1:15" s="1" customFormat="1" x14ac:dyDescent="0.25">
      <c r="A8" s="4" t="s">
        <v>16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>
        <f>SUM(B8:M8)/12</f>
        <v>0</v>
      </c>
    </row>
    <row r="9" spans="1:15" s="1" customFormat="1" x14ac:dyDescent="0.25">
      <c r="A9" s="4" t="s">
        <v>17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9">
        <f>SUM(B9:M9)/12</f>
        <v>0</v>
      </c>
    </row>
    <row r="10" spans="1:15" s="1" customFormat="1" x14ac:dyDescent="0.25">
      <c r="A10" s="4"/>
      <c r="B10" s="10"/>
      <c r="C10" s="10"/>
      <c r="D10" s="10"/>
      <c r="E10" s="10"/>
      <c r="F10" s="10"/>
      <c r="G10" s="10"/>
      <c r="H10" s="8"/>
      <c r="I10" s="10"/>
      <c r="J10" s="10"/>
      <c r="K10" s="10"/>
      <c r="L10" s="10"/>
      <c r="M10" s="10"/>
      <c r="N10" s="11"/>
      <c r="O10" s="12"/>
    </row>
    <row r="11" spans="1:15" s="1" customFormat="1" x14ac:dyDescent="0.25">
      <c r="A11" s="2" t="s">
        <v>51</v>
      </c>
      <c r="B11" s="3">
        <f t="shared" ref="B11:M11" si="0">B7+(B9*1.5)+(B8*0.8)</f>
        <v>31</v>
      </c>
      <c r="C11" s="3">
        <f t="shared" si="0"/>
        <v>31</v>
      </c>
      <c r="D11" s="3">
        <f t="shared" si="0"/>
        <v>31</v>
      </c>
      <c r="E11" s="3">
        <f t="shared" si="0"/>
        <v>31</v>
      </c>
      <c r="F11" s="3">
        <f t="shared" si="0"/>
        <v>31</v>
      </c>
      <c r="G11" s="3">
        <f t="shared" si="0"/>
        <v>33</v>
      </c>
      <c r="H11" s="3">
        <f t="shared" si="0"/>
        <v>33</v>
      </c>
      <c r="I11" s="3">
        <f t="shared" si="0"/>
        <v>33</v>
      </c>
      <c r="J11" s="3">
        <f t="shared" si="0"/>
        <v>33</v>
      </c>
      <c r="K11" s="3">
        <f t="shared" si="0"/>
        <v>34</v>
      </c>
      <c r="L11" s="3">
        <f t="shared" si="0"/>
        <v>34</v>
      </c>
      <c r="M11" s="3">
        <f t="shared" si="0"/>
        <v>34</v>
      </c>
      <c r="N11" s="9">
        <f>SUM(B11:M11)/12</f>
        <v>32.416666666666664</v>
      </c>
    </row>
    <row r="12" spans="1:15" s="1" customFormat="1" x14ac:dyDescent="0.25">
      <c r="A12" s="270" t="s">
        <v>19</v>
      </c>
      <c r="B12" s="271">
        <v>1</v>
      </c>
      <c r="C12" s="272"/>
      <c r="D12" s="272"/>
      <c r="E12" s="272"/>
      <c r="F12" s="272"/>
      <c r="G12" s="272">
        <v>2</v>
      </c>
      <c r="H12" s="272"/>
      <c r="I12" s="272"/>
      <c r="J12" s="272"/>
      <c r="K12" s="272">
        <v>1</v>
      </c>
      <c r="L12" s="272"/>
      <c r="M12" s="272"/>
      <c r="N12" s="273">
        <f>SUM(B12:M12)</f>
        <v>4</v>
      </c>
      <c r="O12" s="15"/>
    </row>
    <row r="13" spans="1:15" x14ac:dyDescent="0.25">
      <c r="B13" s="43" t="s">
        <v>238</v>
      </c>
    </row>
    <row r="15" spans="1:15" x14ac:dyDescent="0.25">
      <c r="A15" s="221" t="s">
        <v>366</v>
      </c>
      <c r="B15" s="221"/>
      <c r="C15" s="221"/>
      <c r="D15" s="221"/>
    </row>
    <row r="16" spans="1:15" s="1" customFormat="1" x14ac:dyDescent="0.25">
      <c r="A16" s="2" t="s">
        <v>42</v>
      </c>
      <c r="B16" s="3" t="s">
        <v>2</v>
      </c>
      <c r="C16" s="3" t="s">
        <v>3</v>
      </c>
      <c r="D16" s="3" t="s">
        <v>4</v>
      </c>
      <c r="E16" s="3" t="s">
        <v>5</v>
      </c>
      <c r="F16" s="3" t="s">
        <v>6</v>
      </c>
      <c r="G16" s="3" t="s">
        <v>7</v>
      </c>
      <c r="H16" s="3" t="s">
        <v>8</v>
      </c>
      <c r="I16" s="3" t="s">
        <v>9</v>
      </c>
      <c r="J16" s="3" t="s">
        <v>10</v>
      </c>
      <c r="K16" s="3" t="s">
        <v>11</v>
      </c>
      <c r="L16" s="3" t="s">
        <v>12</v>
      </c>
      <c r="M16" s="3" t="s">
        <v>13</v>
      </c>
      <c r="N16" s="4" t="s">
        <v>14</v>
      </c>
    </row>
    <row r="17" spans="1:15" s="1" customForma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5" s="1" customFormat="1" x14ac:dyDescent="0.25">
      <c r="A18" s="4" t="s">
        <v>15</v>
      </c>
      <c r="B18" s="5">
        <f>34-13</f>
        <v>21</v>
      </c>
      <c r="C18" s="3">
        <v>22</v>
      </c>
      <c r="D18" s="3">
        <v>22</v>
      </c>
      <c r="E18" s="3">
        <v>22</v>
      </c>
      <c r="F18" s="3">
        <v>23</v>
      </c>
      <c r="G18" s="6">
        <v>24</v>
      </c>
      <c r="H18" s="3">
        <v>25</v>
      </c>
      <c r="I18" s="3">
        <v>25</v>
      </c>
      <c r="J18" s="3">
        <v>25</v>
      </c>
      <c r="K18" s="3">
        <v>25</v>
      </c>
      <c r="L18" s="3">
        <v>25</v>
      </c>
      <c r="M18" s="3">
        <v>25</v>
      </c>
      <c r="N18" s="7">
        <f>SUM(B18:M18)/12</f>
        <v>23.666666666666668</v>
      </c>
    </row>
    <row r="19" spans="1:15" s="1" customFormat="1" x14ac:dyDescent="0.25">
      <c r="A19" s="4" t="s">
        <v>16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>
        <f>SUM(B19:M19)/12</f>
        <v>0</v>
      </c>
    </row>
    <row r="20" spans="1:15" s="1" customFormat="1" x14ac:dyDescent="0.25">
      <c r="A20" s="4" t="s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9">
        <f>SUM(B20:M20)/12</f>
        <v>0</v>
      </c>
    </row>
    <row r="21" spans="1:15" s="1" customFormat="1" x14ac:dyDescent="0.25">
      <c r="A21" s="4"/>
      <c r="B21" s="10"/>
      <c r="C21" s="10"/>
      <c r="D21" s="10"/>
      <c r="E21" s="10"/>
      <c r="F21" s="10"/>
      <c r="G21" s="10"/>
      <c r="H21" s="8"/>
      <c r="I21" s="10"/>
      <c r="J21" s="10"/>
      <c r="K21" s="10"/>
      <c r="L21" s="10"/>
      <c r="M21" s="10"/>
      <c r="N21" s="11"/>
      <c r="O21" s="12"/>
    </row>
    <row r="22" spans="1:15" s="1" customFormat="1" x14ac:dyDescent="0.25">
      <c r="A22" s="2" t="s">
        <v>269</v>
      </c>
      <c r="B22" s="3">
        <f t="shared" ref="B22:M22" si="1">B18+(B20*1.5)+(B19*0.8)</f>
        <v>21</v>
      </c>
      <c r="C22" s="3">
        <f t="shared" si="1"/>
        <v>22</v>
      </c>
      <c r="D22" s="3">
        <f t="shared" si="1"/>
        <v>22</v>
      </c>
      <c r="E22" s="3">
        <f t="shared" si="1"/>
        <v>22</v>
      </c>
      <c r="F22" s="3">
        <f t="shared" si="1"/>
        <v>23</v>
      </c>
      <c r="G22" s="3">
        <f t="shared" si="1"/>
        <v>24</v>
      </c>
      <c r="H22" s="3">
        <f t="shared" si="1"/>
        <v>25</v>
      </c>
      <c r="I22" s="3">
        <f t="shared" si="1"/>
        <v>25</v>
      </c>
      <c r="J22" s="3">
        <f t="shared" si="1"/>
        <v>25</v>
      </c>
      <c r="K22" s="3">
        <f t="shared" si="1"/>
        <v>25</v>
      </c>
      <c r="L22" s="3">
        <f t="shared" si="1"/>
        <v>25</v>
      </c>
      <c r="M22" s="3">
        <f t="shared" si="1"/>
        <v>25</v>
      </c>
      <c r="N22" s="9">
        <f>SUM(B22:M22)/12</f>
        <v>23.666666666666668</v>
      </c>
    </row>
    <row r="23" spans="1:15" s="1" customFormat="1" x14ac:dyDescent="0.25">
      <c r="A23" s="270" t="s">
        <v>19</v>
      </c>
      <c r="B23" s="271"/>
      <c r="C23" s="272">
        <v>1</v>
      </c>
      <c r="D23" s="272"/>
      <c r="E23" s="272"/>
      <c r="F23" s="272">
        <v>1</v>
      </c>
      <c r="G23" s="272">
        <v>1</v>
      </c>
      <c r="H23" s="272">
        <v>1</v>
      </c>
      <c r="I23" s="272"/>
      <c r="J23" s="272"/>
      <c r="K23" s="272"/>
      <c r="L23" s="272"/>
      <c r="M23" s="272"/>
      <c r="N23" s="273">
        <f>SUM(B23:M23)</f>
        <v>4</v>
      </c>
      <c r="O23" s="15"/>
    </row>
    <row r="24" spans="1:15" x14ac:dyDescent="0.25">
      <c r="B24" s="43" t="s">
        <v>265</v>
      </c>
    </row>
    <row r="26" spans="1:15" x14ac:dyDescent="0.25">
      <c r="A26" s="189" t="s">
        <v>367</v>
      </c>
      <c r="B26" s="189"/>
      <c r="C26" s="189"/>
      <c r="D26" s="189"/>
    </row>
    <row r="27" spans="1:15" s="1" customFormat="1" x14ac:dyDescent="0.25">
      <c r="A27" s="2" t="s">
        <v>42</v>
      </c>
      <c r="B27" s="3" t="s">
        <v>2</v>
      </c>
      <c r="C27" s="3" t="s">
        <v>3</v>
      </c>
      <c r="D27" s="3" t="s">
        <v>4</v>
      </c>
      <c r="E27" s="3" t="s">
        <v>5</v>
      </c>
      <c r="F27" s="3" t="s">
        <v>6</v>
      </c>
      <c r="G27" s="3" t="s">
        <v>7</v>
      </c>
      <c r="H27" s="3" t="s">
        <v>8</v>
      </c>
      <c r="I27" s="3" t="s">
        <v>9</v>
      </c>
      <c r="J27" s="3" t="s">
        <v>10</v>
      </c>
      <c r="K27" s="3" t="s">
        <v>11</v>
      </c>
      <c r="L27" s="3" t="s">
        <v>12</v>
      </c>
      <c r="M27" s="3" t="s">
        <v>13</v>
      </c>
      <c r="N27" s="4" t="s">
        <v>14</v>
      </c>
    </row>
    <row r="28" spans="1:15" s="1" customForma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5" s="1" customFormat="1" x14ac:dyDescent="0.25">
      <c r="A29" s="4" t="s">
        <v>15</v>
      </c>
      <c r="B29" s="5">
        <f>25-12</f>
        <v>13</v>
      </c>
      <c r="C29" s="3">
        <v>13</v>
      </c>
      <c r="D29" s="3">
        <v>14</v>
      </c>
      <c r="E29" s="3">
        <v>16</v>
      </c>
      <c r="F29" s="3">
        <v>17</v>
      </c>
      <c r="G29" s="6">
        <v>18</v>
      </c>
      <c r="H29" s="3">
        <v>18</v>
      </c>
      <c r="I29" s="3">
        <v>18</v>
      </c>
      <c r="J29" s="3">
        <v>18</v>
      </c>
      <c r="K29" s="3">
        <v>18</v>
      </c>
      <c r="L29" s="3">
        <v>18</v>
      </c>
      <c r="M29" s="3">
        <v>18</v>
      </c>
      <c r="N29" s="7">
        <f>SUM(B29:M29)/12</f>
        <v>16.583333333333332</v>
      </c>
    </row>
    <row r="30" spans="1:15" s="1" customFormat="1" x14ac:dyDescent="0.25">
      <c r="A30" s="4" t="s">
        <v>16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>
        <f>SUM(B30:M30)/12</f>
        <v>0</v>
      </c>
    </row>
    <row r="31" spans="1:15" s="1" customFormat="1" x14ac:dyDescent="0.25">
      <c r="A31" s="4" t="s">
        <v>17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9">
        <f>SUM(B31:M31)/12</f>
        <v>0</v>
      </c>
    </row>
    <row r="32" spans="1:15" s="1" customFormat="1" x14ac:dyDescent="0.25">
      <c r="A32" s="4"/>
      <c r="B32" s="10"/>
      <c r="C32" s="10"/>
      <c r="D32" s="10"/>
      <c r="E32" s="10"/>
      <c r="F32" s="10"/>
      <c r="G32" s="10"/>
      <c r="H32" s="8"/>
      <c r="I32" s="10"/>
      <c r="J32" s="10"/>
      <c r="K32" s="10"/>
      <c r="L32" s="10"/>
      <c r="M32" s="10"/>
      <c r="N32" s="11"/>
      <c r="O32" s="12"/>
    </row>
    <row r="33" spans="1:15" s="1" customFormat="1" x14ac:dyDescent="0.25">
      <c r="A33" s="2" t="s">
        <v>270</v>
      </c>
      <c r="B33" s="3">
        <f t="shared" ref="B33:M33" si="2">B29+(B31*1.5)+(B30*0.8)</f>
        <v>13</v>
      </c>
      <c r="C33" s="3">
        <f t="shared" si="2"/>
        <v>13</v>
      </c>
      <c r="D33" s="3">
        <f t="shared" si="2"/>
        <v>14</v>
      </c>
      <c r="E33" s="3">
        <f t="shared" si="2"/>
        <v>16</v>
      </c>
      <c r="F33" s="3">
        <f t="shared" si="2"/>
        <v>17</v>
      </c>
      <c r="G33" s="3">
        <f t="shared" si="2"/>
        <v>18</v>
      </c>
      <c r="H33" s="3">
        <f t="shared" si="2"/>
        <v>18</v>
      </c>
      <c r="I33" s="3">
        <f t="shared" si="2"/>
        <v>18</v>
      </c>
      <c r="J33" s="3">
        <f t="shared" si="2"/>
        <v>18</v>
      </c>
      <c r="K33" s="3">
        <f t="shared" si="2"/>
        <v>18</v>
      </c>
      <c r="L33" s="3">
        <f t="shared" si="2"/>
        <v>18</v>
      </c>
      <c r="M33" s="3">
        <f t="shared" si="2"/>
        <v>18</v>
      </c>
      <c r="N33" s="9">
        <f>SUM(B33:M33)/12</f>
        <v>16.583333333333332</v>
      </c>
    </row>
    <row r="34" spans="1:15" s="1" customFormat="1" x14ac:dyDescent="0.25">
      <c r="A34" s="270" t="s">
        <v>19</v>
      </c>
      <c r="B34" s="271">
        <v>0</v>
      </c>
      <c r="C34" s="272"/>
      <c r="D34" s="272">
        <v>1</v>
      </c>
      <c r="E34" s="272">
        <v>2</v>
      </c>
      <c r="F34" s="272">
        <v>1</v>
      </c>
      <c r="G34" s="272">
        <v>1</v>
      </c>
      <c r="H34" s="272"/>
      <c r="I34" s="272"/>
      <c r="J34" s="272"/>
      <c r="K34" s="272"/>
      <c r="L34" s="272"/>
      <c r="M34" s="272"/>
      <c r="N34" s="273">
        <f>SUM(B34:M34)</f>
        <v>5</v>
      </c>
      <c r="O34" s="15"/>
    </row>
    <row r="35" spans="1:15" x14ac:dyDescent="0.25">
      <c r="B35" s="43" t="s">
        <v>368</v>
      </c>
      <c r="L35" s="269"/>
      <c r="M35" s="23"/>
      <c r="N35" s="23"/>
    </row>
    <row r="38" spans="1:15" x14ac:dyDescent="0.25">
      <c r="A38" s="228" t="s">
        <v>369</v>
      </c>
      <c r="B38" s="228"/>
      <c r="C38" s="228"/>
      <c r="D38" s="228"/>
    </row>
    <row r="39" spans="1:15" s="1" customFormat="1" x14ac:dyDescent="0.25">
      <c r="A39" s="2" t="s">
        <v>42</v>
      </c>
      <c r="B39" s="3" t="s">
        <v>2</v>
      </c>
      <c r="C39" s="3" t="s">
        <v>3</v>
      </c>
      <c r="D39" s="3" t="s">
        <v>4</v>
      </c>
      <c r="E39" s="3" t="s">
        <v>5</v>
      </c>
      <c r="F39" s="3" t="s">
        <v>6</v>
      </c>
      <c r="G39" s="3" t="s">
        <v>7</v>
      </c>
      <c r="H39" s="3" t="s">
        <v>8</v>
      </c>
      <c r="I39" s="3" t="s">
        <v>9</v>
      </c>
      <c r="J39" s="3" t="s">
        <v>10</v>
      </c>
      <c r="K39" s="3" t="s">
        <v>11</v>
      </c>
      <c r="L39" s="3" t="s">
        <v>12</v>
      </c>
      <c r="M39" s="3" t="s">
        <v>13</v>
      </c>
      <c r="N39" s="4" t="s">
        <v>14</v>
      </c>
    </row>
    <row r="40" spans="1:15" s="1" customForma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5" s="1" customFormat="1" x14ac:dyDescent="0.25">
      <c r="A41" s="4" t="s">
        <v>15</v>
      </c>
      <c r="B41" s="5">
        <f>18-6</f>
        <v>12</v>
      </c>
      <c r="C41" s="3">
        <v>12</v>
      </c>
      <c r="D41" s="3">
        <v>12</v>
      </c>
      <c r="E41" s="3">
        <v>12</v>
      </c>
      <c r="F41" s="3">
        <v>13</v>
      </c>
      <c r="G41" s="6">
        <v>13</v>
      </c>
      <c r="H41" s="3">
        <v>13</v>
      </c>
      <c r="I41" s="3">
        <v>13</v>
      </c>
      <c r="J41" s="3">
        <v>13</v>
      </c>
      <c r="K41" s="3">
        <v>13</v>
      </c>
      <c r="L41" s="3">
        <v>13</v>
      </c>
      <c r="M41" s="3">
        <v>13</v>
      </c>
      <c r="N41" s="7">
        <f>SUM(B41:M41)/12</f>
        <v>12.666666666666666</v>
      </c>
    </row>
    <row r="42" spans="1:15" s="1" customFormat="1" x14ac:dyDescent="0.25">
      <c r="A42" s="4" t="s">
        <v>16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>
        <f>SUM(B42:M42)/12</f>
        <v>0</v>
      </c>
    </row>
    <row r="43" spans="1:15" s="1" customFormat="1" x14ac:dyDescent="0.25">
      <c r="A43" s="4" t="s">
        <v>17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9">
        <f>SUM(B43:M43)/12</f>
        <v>0</v>
      </c>
    </row>
    <row r="44" spans="1:15" s="1" customFormat="1" x14ac:dyDescent="0.25">
      <c r="A44" s="4"/>
      <c r="B44" s="10"/>
      <c r="C44" s="10"/>
      <c r="D44" s="10"/>
      <c r="E44" s="10"/>
      <c r="F44" s="10"/>
      <c r="G44" s="10"/>
      <c r="H44" s="8"/>
      <c r="I44" s="10"/>
      <c r="J44" s="10"/>
      <c r="K44" s="10"/>
      <c r="L44" s="10"/>
      <c r="M44" s="10"/>
      <c r="N44" s="11"/>
      <c r="O44" s="12"/>
    </row>
    <row r="45" spans="1:15" s="1" customFormat="1" x14ac:dyDescent="0.25">
      <c r="A45" s="2" t="s">
        <v>270</v>
      </c>
      <c r="B45" s="3">
        <f t="shared" ref="B45:M45" si="3">B41+(B43*1.5)+(B42*0.8)</f>
        <v>12</v>
      </c>
      <c r="C45" s="3">
        <f t="shared" si="3"/>
        <v>12</v>
      </c>
      <c r="D45" s="3">
        <f t="shared" si="3"/>
        <v>12</v>
      </c>
      <c r="E45" s="3">
        <f t="shared" si="3"/>
        <v>12</v>
      </c>
      <c r="F45" s="3">
        <f t="shared" si="3"/>
        <v>13</v>
      </c>
      <c r="G45" s="3">
        <f t="shared" si="3"/>
        <v>13</v>
      </c>
      <c r="H45" s="3">
        <f t="shared" si="3"/>
        <v>13</v>
      </c>
      <c r="I45" s="3">
        <f t="shared" si="3"/>
        <v>13</v>
      </c>
      <c r="J45" s="3">
        <f t="shared" si="3"/>
        <v>13</v>
      </c>
      <c r="K45" s="3">
        <f t="shared" si="3"/>
        <v>13</v>
      </c>
      <c r="L45" s="3">
        <f t="shared" si="3"/>
        <v>13</v>
      </c>
      <c r="M45" s="3">
        <f t="shared" si="3"/>
        <v>13</v>
      </c>
      <c r="N45" s="9">
        <f>SUM(B45:M45)/12</f>
        <v>12.666666666666666</v>
      </c>
    </row>
    <row r="46" spans="1:15" s="1" customFormat="1" x14ac:dyDescent="0.25">
      <c r="A46" s="270" t="s">
        <v>19</v>
      </c>
      <c r="B46" s="271">
        <v>0</v>
      </c>
      <c r="C46" s="272"/>
      <c r="D46" s="272">
        <v>0</v>
      </c>
      <c r="E46" s="272">
        <v>0</v>
      </c>
      <c r="F46" s="272">
        <v>1</v>
      </c>
      <c r="G46" s="240" t="s">
        <v>371</v>
      </c>
      <c r="H46" s="85"/>
      <c r="I46" s="85"/>
      <c r="J46" s="85"/>
      <c r="K46" s="85"/>
      <c r="L46" s="240"/>
      <c r="M46" s="85"/>
      <c r="N46" s="16">
        <f>SUM(B46:M46)</f>
        <v>1</v>
      </c>
      <c r="O46" s="15"/>
    </row>
    <row r="47" spans="1:15" x14ac:dyDescent="0.25">
      <c r="B47" s="43" t="s">
        <v>370</v>
      </c>
      <c r="N47" s="23"/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workbookViewId="0">
      <selection activeCell="B28" sqref="B28"/>
    </sheetView>
  </sheetViews>
  <sheetFormatPr defaultRowHeight="15" x14ac:dyDescent="0.25"/>
  <sheetData>
    <row r="1" spans="1:15" x14ac:dyDescent="0.25">
      <c r="A1" t="s">
        <v>40</v>
      </c>
    </row>
    <row r="3" spans="1:15" x14ac:dyDescent="0.25">
      <c r="A3" s="274" t="s">
        <v>374</v>
      </c>
      <c r="B3" s="274"/>
      <c r="C3" s="274"/>
      <c r="D3" s="274"/>
    </row>
    <row r="4" spans="1:15" s="1" customFormat="1" x14ac:dyDescent="0.25">
      <c r="A4" s="2" t="s">
        <v>42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4" t="s">
        <v>14</v>
      </c>
    </row>
    <row r="5" spans="1:15" s="1" customForma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5" s="1" customFormat="1" x14ac:dyDescent="0.25">
      <c r="A6" s="4" t="s">
        <v>15</v>
      </c>
      <c r="B6" s="276">
        <f>41+1-11</f>
        <v>31</v>
      </c>
      <c r="C6" s="277">
        <v>31.5</v>
      </c>
      <c r="D6" s="277">
        <f>32</f>
        <v>32</v>
      </c>
      <c r="E6" s="277">
        <f>32-1</f>
        <v>31</v>
      </c>
      <c r="F6" s="277">
        <v>31</v>
      </c>
      <c r="G6" s="278">
        <v>33</v>
      </c>
      <c r="H6" s="3">
        <v>33</v>
      </c>
      <c r="I6" s="3">
        <v>33</v>
      </c>
      <c r="J6" s="3">
        <v>33</v>
      </c>
      <c r="K6" s="3">
        <v>34</v>
      </c>
      <c r="L6" s="3">
        <v>34</v>
      </c>
      <c r="M6" s="3">
        <v>34</v>
      </c>
      <c r="N6" s="7">
        <f>SUM(B6:M6)/12</f>
        <v>32.541666666666664</v>
      </c>
    </row>
    <row r="7" spans="1:15" s="1" customFormat="1" x14ac:dyDescent="0.25">
      <c r="A7" s="4" t="s">
        <v>16</v>
      </c>
      <c r="B7" s="279"/>
      <c r="C7" s="279"/>
      <c r="D7" s="279"/>
      <c r="E7" s="279"/>
      <c r="F7" s="279"/>
      <c r="G7" s="279"/>
      <c r="H7" s="8"/>
      <c r="I7" s="8"/>
      <c r="J7" s="8"/>
      <c r="K7" s="8"/>
      <c r="L7" s="8"/>
      <c r="M7" s="8"/>
      <c r="N7" s="9">
        <f>SUM(B7:M7)/12</f>
        <v>0</v>
      </c>
    </row>
    <row r="8" spans="1:15" s="1" customFormat="1" x14ac:dyDescent="0.25">
      <c r="A8" s="4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>
        <f>SUM(B8:M8)/12</f>
        <v>0</v>
      </c>
    </row>
    <row r="9" spans="1:15" s="1" customFormat="1" x14ac:dyDescent="0.25">
      <c r="A9" s="4"/>
      <c r="B9" s="10"/>
      <c r="C9" s="10"/>
      <c r="D9" s="10"/>
      <c r="E9" s="10"/>
      <c r="F9" s="10"/>
      <c r="G9" s="10"/>
      <c r="H9" s="8"/>
      <c r="I9" s="10"/>
      <c r="J9" s="10"/>
      <c r="K9" s="10"/>
      <c r="L9" s="10"/>
      <c r="M9" s="10"/>
      <c r="N9" s="11"/>
      <c r="O9" s="12"/>
    </row>
    <row r="10" spans="1:15" s="1" customFormat="1" x14ac:dyDescent="0.25">
      <c r="A10" s="2" t="s">
        <v>51</v>
      </c>
      <c r="B10" s="3">
        <f>B6+(B8*1.5)+(B7*0.8)</f>
        <v>31</v>
      </c>
      <c r="C10" s="3">
        <f>C6+(C8*1.5)+(C7*0.8)</f>
        <v>31.5</v>
      </c>
      <c r="D10" s="3">
        <f>D6+(D8*1.5)+(D7*0.8)</f>
        <v>32</v>
      </c>
      <c r="E10" s="3">
        <f>E6+(E8*1.5)+(E7*0.8)</f>
        <v>31</v>
      </c>
      <c r="F10" s="3">
        <f>F6+(F8*1.5)+(F7*0.8)</f>
        <v>31</v>
      </c>
      <c r="G10" s="3">
        <f t="shared" ref="G10:M10" si="0">G6+(G8*1.5)+(G7*0.8)</f>
        <v>33</v>
      </c>
      <c r="H10" s="3">
        <f t="shared" si="0"/>
        <v>33</v>
      </c>
      <c r="I10" s="3">
        <f t="shared" si="0"/>
        <v>33</v>
      </c>
      <c r="J10" s="3">
        <f t="shared" si="0"/>
        <v>33</v>
      </c>
      <c r="K10" s="3">
        <f t="shared" si="0"/>
        <v>34</v>
      </c>
      <c r="L10" s="3">
        <f t="shared" si="0"/>
        <v>34</v>
      </c>
      <c r="M10" s="3">
        <f t="shared" si="0"/>
        <v>34</v>
      </c>
      <c r="N10" s="9">
        <f>SUM(B10:M10)/12</f>
        <v>32.541666666666664</v>
      </c>
    </row>
    <row r="11" spans="1:15" s="1" customFormat="1" x14ac:dyDescent="0.25">
      <c r="A11" s="13" t="s">
        <v>19</v>
      </c>
      <c r="B11" s="14">
        <v>1</v>
      </c>
      <c r="C11" s="15">
        <v>1</v>
      </c>
      <c r="D11" s="15"/>
      <c r="E11" s="15"/>
      <c r="F11" s="15"/>
      <c r="G11" s="15">
        <v>2</v>
      </c>
      <c r="H11" s="15"/>
      <c r="I11" s="15"/>
      <c r="J11" s="15"/>
      <c r="K11" s="15">
        <v>1</v>
      </c>
      <c r="L11" s="15"/>
      <c r="M11" s="15"/>
      <c r="N11" s="16">
        <f>SUM(B11:M11)</f>
        <v>5</v>
      </c>
      <c r="O11" s="15"/>
    </row>
    <row r="12" spans="1:15" x14ac:dyDescent="0.25">
      <c r="B12" s="43" t="s">
        <v>238</v>
      </c>
      <c r="D12" s="43" t="s">
        <v>59</v>
      </c>
    </row>
    <row r="13" spans="1:15" x14ac:dyDescent="0.25">
      <c r="A13" s="76"/>
      <c r="B13" s="73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1:15" x14ac:dyDescent="0.25">
      <c r="A14" s="221" t="s">
        <v>283</v>
      </c>
      <c r="B14" s="221"/>
      <c r="C14" s="221"/>
      <c r="D14" s="221"/>
    </row>
    <row r="15" spans="1:15" s="1" customFormat="1" x14ac:dyDescent="0.25">
      <c r="A15" s="2" t="s">
        <v>42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4" t="s">
        <v>14</v>
      </c>
    </row>
    <row r="16" spans="1:15" s="1" customForma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5" s="1" customFormat="1" x14ac:dyDescent="0.25">
      <c r="A17" s="4" t="s">
        <v>15</v>
      </c>
      <c r="B17" s="5">
        <f>41+1-11</f>
        <v>31</v>
      </c>
      <c r="C17" s="3">
        <v>31</v>
      </c>
      <c r="D17" s="3">
        <v>31</v>
      </c>
      <c r="E17" s="3">
        <v>31</v>
      </c>
      <c r="F17" s="3">
        <v>31</v>
      </c>
      <c r="G17" s="6">
        <v>32</v>
      </c>
      <c r="H17" s="3">
        <v>32</v>
      </c>
      <c r="I17" s="3">
        <v>32</v>
      </c>
      <c r="J17" s="3">
        <v>32</v>
      </c>
      <c r="K17" s="3">
        <v>33</v>
      </c>
      <c r="L17" s="3">
        <v>33</v>
      </c>
      <c r="M17" s="3">
        <v>33</v>
      </c>
      <c r="N17" s="7">
        <f>SUM(B17:M17)/12</f>
        <v>31.833333333333332</v>
      </c>
    </row>
    <row r="18" spans="1:15" s="1" customFormat="1" x14ac:dyDescent="0.25">
      <c r="A18" s="4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>
        <f>SUM(B18:M18)/12</f>
        <v>0</v>
      </c>
    </row>
    <row r="19" spans="1:15" s="1" customFormat="1" x14ac:dyDescent="0.25">
      <c r="A19" s="4" t="s">
        <v>17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9">
        <f>SUM(B19:M19)/12</f>
        <v>0</v>
      </c>
    </row>
    <row r="20" spans="1:15" s="1" customFormat="1" x14ac:dyDescent="0.25">
      <c r="A20" s="4"/>
      <c r="B20" s="10"/>
      <c r="C20" s="10"/>
      <c r="D20" s="10"/>
      <c r="E20" s="10"/>
      <c r="F20" s="10"/>
      <c r="G20" s="10"/>
      <c r="H20" s="8"/>
      <c r="I20" s="10"/>
      <c r="J20" s="10"/>
      <c r="K20" s="10"/>
      <c r="L20" s="10"/>
      <c r="M20" s="10"/>
      <c r="N20" s="11"/>
      <c r="O20" s="12"/>
    </row>
    <row r="21" spans="1:15" s="1" customFormat="1" x14ac:dyDescent="0.25">
      <c r="A21" s="2" t="s">
        <v>51</v>
      </c>
      <c r="B21" s="3">
        <f>B17+(B19*1.5)+(B18*0.8)</f>
        <v>31</v>
      </c>
      <c r="C21" s="3">
        <f>C17+(C19*1.5)+(C18*0.8)</f>
        <v>31</v>
      </c>
      <c r="D21" s="3">
        <f>D17+(D19*1.5)+(D18*0.8)</f>
        <v>31</v>
      </c>
      <c r="E21" s="3">
        <f>E17+(E19*1.5)+(E18*0.8)</f>
        <v>31</v>
      </c>
      <c r="F21" s="3">
        <f>F17+(F19*1.5)+(F18*0.8)</f>
        <v>31</v>
      </c>
      <c r="G21" s="3">
        <f t="shared" ref="G21:M21" si="1">G17+(G19*1.5)+(G18*0.8)</f>
        <v>32</v>
      </c>
      <c r="H21" s="3">
        <f t="shared" si="1"/>
        <v>32</v>
      </c>
      <c r="I21" s="3">
        <f t="shared" si="1"/>
        <v>32</v>
      </c>
      <c r="J21" s="3">
        <f t="shared" si="1"/>
        <v>32</v>
      </c>
      <c r="K21" s="3">
        <f t="shared" si="1"/>
        <v>33</v>
      </c>
      <c r="L21" s="3">
        <f t="shared" si="1"/>
        <v>33</v>
      </c>
      <c r="M21" s="3">
        <f t="shared" si="1"/>
        <v>33</v>
      </c>
      <c r="N21" s="9">
        <f>SUM(B21:M21)/12</f>
        <v>31.833333333333332</v>
      </c>
    </row>
    <row r="22" spans="1:15" s="1" customFormat="1" x14ac:dyDescent="0.25">
      <c r="A22" s="13" t="s">
        <v>19</v>
      </c>
      <c r="B22" s="14">
        <v>1</v>
      </c>
      <c r="C22" s="15"/>
      <c r="D22" s="15"/>
      <c r="E22" s="15"/>
      <c r="F22" s="15"/>
      <c r="G22" s="15">
        <v>1</v>
      </c>
      <c r="H22" s="15"/>
      <c r="I22" s="15"/>
      <c r="J22" s="15"/>
      <c r="K22" s="15">
        <v>1</v>
      </c>
      <c r="L22" s="15"/>
      <c r="M22" s="15"/>
      <c r="N22" s="16">
        <f>SUM(B22:M22)</f>
        <v>3</v>
      </c>
      <c r="O22" s="15"/>
    </row>
    <row r="23" spans="1:15" x14ac:dyDescent="0.25">
      <c r="B23" s="43" t="s">
        <v>238</v>
      </c>
    </row>
    <row r="24" spans="1:15" x14ac:dyDescent="0.25">
      <c r="A24" s="189" t="s">
        <v>423</v>
      </c>
      <c r="B24" s="189"/>
      <c r="C24" s="189"/>
      <c r="D24" s="189"/>
    </row>
    <row r="25" spans="1:15" s="1" customFormat="1" x14ac:dyDescent="0.25">
      <c r="A25" s="2" t="s">
        <v>42</v>
      </c>
      <c r="B25" s="3" t="s">
        <v>2</v>
      </c>
      <c r="C25" s="3" t="s">
        <v>3</v>
      </c>
      <c r="D25" s="3" t="s">
        <v>4</v>
      </c>
      <c r="E25" s="3" t="s">
        <v>5</v>
      </c>
      <c r="F25" s="3" t="s">
        <v>6</v>
      </c>
      <c r="G25" s="3" t="s">
        <v>7</v>
      </c>
      <c r="H25" s="3" t="s">
        <v>8</v>
      </c>
      <c r="I25" s="3" t="s">
        <v>9</v>
      </c>
      <c r="J25" s="3" t="s">
        <v>10</v>
      </c>
      <c r="K25" s="3" t="s">
        <v>11</v>
      </c>
      <c r="L25" s="3" t="s">
        <v>12</v>
      </c>
      <c r="M25" s="3" t="s">
        <v>13</v>
      </c>
      <c r="N25" s="4" t="s">
        <v>14</v>
      </c>
    </row>
    <row r="26" spans="1:15" s="1" customForma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5" s="1" customFormat="1" x14ac:dyDescent="0.25">
      <c r="A27" s="4" t="s">
        <v>15</v>
      </c>
      <c r="B27" s="5"/>
      <c r="C27" s="3"/>
      <c r="D27" s="3"/>
      <c r="E27" s="3"/>
      <c r="F27" s="3"/>
      <c r="G27" s="6"/>
      <c r="H27" s="3"/>
      <c r="I27" s="3"/>
      <c r="J27" s="3"/>
      <c r="K27" s="3"/>
      <c r="L27" s="3"/>
      <c r="M27" s="3"/>
      <c r="N27" s="7">
        <f>SUM(B27:M27)/12</f>
        <v>0</v>
      </c>
    </row>
    <row r="28" spans="1:15" s="1" customFormat="1" x14ac:dyDescent="0.25">
      <c r="A28" s="4" t="s">
        <v>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>
        <f>SUM(B28:M28)/12</f>
        <v>0</v>
      </c>
    </row>
    <row r="29" spans="1:15" s="1" customFormat="1" x14ac:dyDescent="0.25">
      <c r="A29" s="4" t="s">
        <v>17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9">
        <f>SUM(B29:M29)/12</f>
        <v>0</v>
      </c>
    </row>
    <row r="30" spans="1:15" s="1" customFormat="1" x14ac:dyDescent="0.25">
      <c r="A30" s="4"/>
      <c r="B30" s="10"/>
      <c r="C30" s="10"/>
      <c r="D30" s="10"/>
      <c r="E30" s="10"/>
      <c r="F30" s="10"/>
      <c r="G30" s="10"/>
      <c r="H30" s="8"/>
      <c r="I30" s="10"/>
      <c r="J30" s="10"/>
      <c r="K30" s="10"/>
      <c r="L30" s="10"/>
      <c r="M30" s="10"/>
      <c r="N30" s="11"/>
      <c r="O30" s="12"/>
    </row>
    <row r="31" spans="1:15" s="1" customFormat="1" x14ac:dyDescent="0.25">
      <c r="A31" s="2" t="s">
        <v>269</v>
      </c>
      <c r="B31" s="3">
        <f>B27+(B29*1.5)+(B28*0.8)</f>
        <v>0</v>
      </c>
      <c r="C31" s="3">
        <f>C27+(C29*1.5)+(C28*0.8)</f>
        <v>0</v>
      </c>
      <c r="D31" s="3">
        <f>D27+(D29*1.5)+(D28*0.8)</f>
        <v>0</v>
      </c>
      <c r="E31" s="3">
        <f>E27+(E29*1.5)+(E28*0.8)</f>
        <v>0</v>
      </c>
      <c r="F31" s="3">
        <f>F27+(F29*1.5)+(F28*0.8)</f>
        <v>0</v>
      </c>
      <c r="G31" s="3">
        <f t="shared" ref="G31:M31" si="2">G27+(G29*1.5)+(G28*0.8)</f>
        <v>0</v>
      </c>
      <c r="H31" s="3">
        <f t="shared" si="2"/>
        <v>0</v>
      </c>
      <c r="I31" s="3">
        <f t="shared" si="2"/>
        <v>0</v>
      </c>
      <c r="J31" s="3">
        <f t="shared" si="2"/>
        <v>0</v>
      </c>
      <c r="K31" s="3">
        <f t="shared" si="2"/>
        <v>0</v>
      </c>
      <c r="L31" s="3">
        <f t="shared" si="2"/>
        <v>0</v>
      </c>
      <c r="M31" s="3">
        <f t="shared" si="2"/>
        <v>0</v>
      </c>
      <c r="N31" s="9">
        <f>SUM(B31:M31)/12</f>
        <v>0</v>
      </c>
    </row>
    <row r="32" spans="1:15" s="1" customFormat="1" x14ac:dyDescent="0.25">
      <c r="A32" s="13" t="s">
        <v>19</v>
      </c>
      <c r="B32" s="14">
        <v>0</v>
      </c>
      <c r="C32" s="15">
        <v>1</v>
      </c>
      <c r="D32" s="15">
        <v>0</v>
      </c>
      <c r="E32" s="15">
        <v>0</v>
      </c>
      <c r="F32" s="15">
        <v>1</v>
      </c>
      <c r="G32" s="15">
        <v>1</v>
      </c>
      <c r="H32" s="15">
        <v>1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6">
        <f>SUM(B32:M32)</f>
        <v>4</v>
      </c>
      <c r="O32" s="15"/>
    </row>
    <row r="33" spans="1:15" x14ac:dyDescent="0.25">
      <c r="B33" s="43" t="s">
        <v>424</v>
      </c>
    </row>
    <row r="34" spans="1:15" x14ac:dyDescent="0.25">
      <c r="B34" s="43" t="s">
        <v>425</v>
      </c>
    </row>
    <row r="35" spans="1:15" x14ac:dyDescent="0.25">
      <c r="B35" s="43"/>
    </row>
    <row r="36" spans="1:15" x14ac:dyDescent="0.25">
      <c r="A36" s="251" t="s">
        <v>375</v>
      </c>
      <c r="B36" s="251"/>
      <c r="C36" s="251"/>
      <c r="D36" s="251"/>
    </row>
    <row r="37" spans="1:15" s="1" customFormat="1" x14ac:dyDescent="0.25">
      <c r="A37" s="2" t="s">
        <v>42</v>
      </c>
      <c r="B37" s="3" t="s">
        <v>2</v>
      </c>
      <c r="C37" s="3" t="s">
        <v>3</v>
      </c>
      <c r="D37" s="3" t="s">
        <v>4</v>
      </c>
      <c r="E37" s="3" t="s">
        <v>5</v>
      </c>
      <c r="F37" s="3" t="s">
        <v>6</v>
      </c>
      <c r="G37" s="3" t="s">
        <v>7</v>
      </c>
      <c r="H37" s="3" t="s">
        <v>8</v>
      </c>
      <c r="I37" s="3" t="s">
        <v>9</v>
      </c>
      <c r="J37" s="3" t="s">
        <v>10</v>
      </c>
      <c r="K37" s="3" t="s">
        <v>11</v>
      </c>
      <c r="L37" s="3" t="s">
        <v>12</v>
      </c>
      <c r="M37" s="3" t="s">
        <v>13</v>
      </c>
      <c r="N37" s="4" t="s">
        <v>14</v>
      </c>
    </row>
    <row r="38" spans="1:15" s="1" customForma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5" s="1" customFormat="1" x14ac:dyDescent="0.25">
      <c r="A39" s="4" t="s">
        <v>15</v>
      </c>
      <c r="B39" s="5">
        <f>34-13</f>
        <v>21</v>
      </c>
      <c r="C39" s="3">
        <v>22</v>
      </c>
      <c r="D39" s="3">
        <v>22</v>
      </c>
      <c r="E39" s="3">
        <v>22</v>
      </c>
      <c r="F39" s="3">
        <v>23</v>
      </c>
      <c r="G39" s="6">
        <v>24</v>
      </c>
      <c r="H39" s="3">
        <v>25</v>
      </c>
      <c r="I39" s="3">
        <v>25</v>
      </c>
      <c r="J39" s="3">
        <v>25</v>
      </c>
      <c r="K39" s="3">
        <v>25</v>
      </c>
      <c r="L39" s="3">
        <v>25</v>
      </c>
      <c r="M39" s="3">
        <v>25</v>
      </c>
      <c r="N39" s="7">
        <f>SUM(B39:M39)/12</f>
        <v>23.666666666666668</v>
      </c>
    </row>
    <row r="40" spans="1:15" s="1" customFormat="1" x14ac:dyDescent="0.25">
      <c r="A40" s="4" t="s">
        <v>16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>
        <f>SUM(B40:M40)/12</f>
        <v>0</v>
      </c>
    </row>
    <row r="41" spans="1:15" s="1" customFormat="1" x14ac:dyDescent="0.25">
      <c r="A41" s="4" t="s">
        <v>17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9">
        <f>SUM(B41:M41)/12</f>
        <v>0</v>
      </c>
    </row>
    <row r="42" spans="1:15" s="1" customFormat="1" x14ac:dyDescent="0.25">
      <c r="A42" s="4"/>
      <c r="B42" s="10"/>
      <c r="C42" s="10"/>
      <c r="D42" s="10"/>
      <c r="E42" s="10"/>
      <c r="F42" s="10"/>
      <c r="G42" s="10"/>
      <c r="H42" s="8"/>
      <c r="I42" s="10"/>
      <c r="J42" s="10"/>
      <c r="K42" s="10"/>
      <c r="L42" s="10"/>
      <c r="M42" s="10"/>
      <c r="N42" s="11"/>
      <c r="O42" s="12"/>
    </row>
    <row r="43" spans="1:15" s="1" customFormat="1" x14ac:dyDescent="0.25">
      <c r="A43" s="2" t="s">
        <v>269</v>
      </c>
      <c r="B43" s="3">
        <f>B39+(B41*1.5)+(B40*0.8)</f>
        <v>21</v>
      </c>
      <c r="C43" s="3">
        <f>C39+(C41*1.5)+(C40*0.8)</f>
        <v>22</v>
      </c>
      <c r="D43" s="3">
        <f>D39+(D41*1.5)+(D40*0.8)</f>
        <v>22</v>
      </c>
      <c r="E43" s="3">
        <f>E39+(E41*1.5)+(E40*0.8)</f>
        <v>22</v>
      </c>
      <c r="F43" s="3">
        <f>F39+(F41*1.5)+(F40*0.8)</f>
        <v>23</v>
      </c>
      <c r="G43" s="3">
        <f t="shared" ref="G43:M43" si="3">G39+(G41*1.5)+(G40*0.8)</f>
        <v>24</v>
      </c>
      <c r="H43" s="3">
        <f t="shared" si="3"/>
        <v>25</v>
      </c>
      <c r="I43" s="3">
        <f t="shared" si="3"/>
        <v>25</v>
      </c>
      <c r="J43" s="3">
        <f t="shared" si="3"/>
        <v>25</v>
      </c>
      <c r="K43" s="3">
        <f t="shared" si="3"/>
        <v>25</v>
      </c>
      <c r="L43" s="3">
        <f t="shared" si="3"/>
        <v>25</v>
      </c>
      <c r="M43" s="3">
        <f t="shared" si="3"/>
        <v>25</v>
      </c>
      <c r="N43" s="9">
        <f>SUM(B43:M43)/12</f>
        <v>23.666666666666668</v>
      </c>
    </row>
    <row r="44" spans="1:15" s="1" customFormat="1" x14ac:dyDescent="0.25">
      <c r="A44" s="13" t="s">
        <v>19</v>
      </c>
      <c r="B44" s="14">
        <v>0</v>
      </c>
      <c r="C44" s="15">
        <v>1</v>
      </c>
      <c r="D44" s="15">
        <v>0</v>
      </c>
      <c r="E44" s="15">
        <v>0</v>
      </c>
      <c r="F44" s="15">
        <v>1</v>
      </c>
      <c r="G44" s="15">
        <v>1</v>
      </c>
      <c r="H44" s="15">
        <v>1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6">
        <f>SUM(B44:M44)</f>
        <v>4</v>
      </c>
      <c r="O44" s="15"/>
    </row>
    <row r="45" spans="1:15" x14ac:dyDescent="0.25">
      <c r="B45" s="43" t="s">
        <v>129</v>
      </c>
    </row>
    <row r="46" spans="1:15" x14ac:dyDescent="0.25">
      <c r="A46" s="76"/>
      <c r="B46" s="73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</row>
    <row r="47" spans="1:15" x14ac:dyDescent="0.25">
      <c r="A47" s="229" t="s">
        <v>236</v>
      </c>
      <c r="B47" s="229"/>
      <c r="C47" s="229"/>
      <c r="D47" s="229"/>
    </row>
    <row r="48" spans="1:15" s="1" customFormat="1" x14ac:dyDescent="0.25">
      <c r="A48" s="2" t="s">
        <v>42</v>
      </c>
      <c r="B48" s="3" t="s">
        <v>2</v>
      </c>
      <c r="C48" s="3" t="s">
        <v>3</v>
      </c>
      <c r="D48" s="3" t="s">
        <v>4</v>
      </c>
      <c r="E48" s="3" t="s">
        <v>5</v>
      </c>
      <c r="F48" s="3" t="s">
        <v>6</v>
      </c>
      <c r="G48" s="3" t="s">
        <v>7</v>
      </c>
      <c r="H48" s="3" t="s">
        <v>8</v>
      </c>
      <c r="I48" s="3" t="s">
        <v>9</v>
      </c>
      <c r="J48" s="3" t="s">
        <v>10</v>
      </c>
      <c r="K48" s="3" t="s">
        <v>11</v>
      </c>
      <c r="L48" s="3" t="s">
        <v>12</v>
      </c>
      <c r="M48" s="3" t="s">
        <v>13</v>
      </c>
      <c r="N48" s="4" t="s">
        <v>14</v>
      </c>
    </row>
    <row r="49" spans="1:15" s="1" customForma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5" s="1" customFormat="1" x14ac:dyDescent="0.25">
      <c r="A50" s="4" t="s">
        <v>15</v>
      </c>
      <c r="B50" s="5">
        <f>41-11</f>
        <v>30</v>
      </c>
      <c r="C50" s="3">
        <v>30</v>
      </c>
      <c r="D50" s="3">
        <v>30</v>
      </c>
      <c r="E50" s="3">
        <v>30</v>
      </c>
      <c r="F50" s="3">
        <v>30</v>
      </c>
      <c r="G50" s="6">
        <v>31</v>
      </c>
      <c r="H50" s="3">
        <v>31</v>
      </c>
      <c r="I50" s="3">
        <v>31</v>
      </c>
      <c r="J50" s="3">
        <v>31</v>
      </c>
      <c r="K50" s="3">
        <v>32</v>
      </c>
      <c r="L50" s="3">
        <v>32</v>
      </c>
      <c r="M50" s="3">
        <v>32</v>
      </c>
      <c r="N50" s="7">
        <f>SUM(B50:M50)/12</f>
        <v>30.833333333333332</v>
      </c>
    </row>
    <row r="51" spans="1:15" s="1" customFormat="1" x14ac:dyDescent="0.25">
      <c r="A51" s="4" t="s">
        <v>16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>
        <f>SUM(B51:M51)/12</f>
        <v>0</v>
      </c>
    </row>
    <row r="52" spans="1:15" s="1" customFormat="1" x14ac:dyDescent="0.25">
      <c r="A52" s="4" t="s">
        <v>17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9">
        <f>SUM(B52:M52)/12</f>
        <v>0</v>
      </c>
    </row>
    <row r="53" spans="1:15" s="1" customFormat="1" x14ac:dyDescent="0.25">
      <c r="A53" s="4"/>
      <c r="B53" s="10"/>
      <c r="C53" s="10"/>
      <c r="D53" s="10"/>
      <c r="E53" s="10"/>
      <c r="F53" s="10"/>
      <c r="G53" s="10"/>
      <c r="H53" s="8"/>
      <c r="I53" s="10"/>
      <c r="J53" s="10"/>
      <c r="K53" s="10"/>
      <c r="L53" s="10"/>
      <c r="M53" s="10"/>
      <c r="N53" s="11"/>
      <c r="O53" s="12"/>
    </row>
    <row r="54" spans="1:15" s="1" customFormat="1" x14ac:dyDescent="0.25">
      <c r="A54" s="2" t="s">
        <v>51</v>
      </c>
      <c r="B54" s="3">
        <f>B50+(B52*1.5)+(B51*0.8)</f>
        <v>30</v>
      </c>
      <c r="C54" s="3">
        <f>C50+(C52*1.5)+(C51*0.8)</f>
        <v>30</v>
      </c>
      <c r="D54" s="3">
        <f>D50+(D52*1.5)+(D51*0.8)</f>
        <v>30</v>
      </c>
      <c r="E54" s="3">
        <f>E50+(E52*1.5)+(E51*0.8)</f>
        <v>30</v>
      </c>
      <c r="F54" s="3">
        <f>F50+(F52*1.5)+(F51*0.8)</f>
        <v>30</v>
      </c>
      <c r="G54" s="3">
        <f t="shared" ref="G54:M54" si="4">G50+(G52*1.5)+(G51*0.8)</f>
        <v>31</v>
      </c>
      <c r="H54" s="3">
        <f t="shared" si="4"/>
        <v>31</v>
      </c>
      <c r="I54" s="3">
        <f t="shared" si="4"/>
        <v>31</v>
      </c>
      <c r="J54" s="3">
        <f t="shared" si="4"/>
        <v>31</v>
      </c>
      <c r="K54" s="3">
        <f t="shared" si="4"/>
        <v>32</v>
      </c>
      <c r="L54" s="3">
        <f t="shared" si="4"/>
        <v>32</v>
      </c>
      <c r="M54" s="3">
        <f t="shared" si="4"/>
        <v>32</v>
      </c>
      <c r="N54" s="9">
        <f>SUM(B54:M54)/12</f>
        <v>30.833333333333332</v>
      </c>
    </row>
    <row r="55" spans="1:15" s="1" customFormat="1" x14ac:dyDescent="0.25">
      <c r="A55" s="13" t="s">
        <v>19</v>
      </c>
      <c r="B55" s="14">
        <v>1</v>
      </c>
      <c r="C55" s="15"/>
      <c r="D55" s="15"/>
      <c r="E55" s="15"/>
      <c r="F55" s="15"/>
      <c r="G55" s="15">
        <v>1</v>
      </c>
      <c r="H55" s="15"/>
      <c r="I55" s="15"/>
      <c r="J55" s="15"/>
      <c r="K55" s="15">
        <v>1</v>
      </c>
      <c r="L55" s="15"/>
      <c r="M55" s="15"/>
      <c r="N55" s="16">
        <f>SUM(B55:M55)</f>
        <v>3</v>
      </c>
      <c r="O55" s="15"/>
    </row>
    <row r="56" spans="1:15" x14ac:dyDescent="0.25">
      <c r="B56" s="43" t="s">
        <v>238</v>
      </c>
    </row>
    <row r="58" spans="1:15" x14ac:dyDescent="0.25">
      <c r="A58" s="189" t="s">
        <v>126</v>
      </c>
      <c r="B58" s="189"/>
      <c r="C58" s="189"/>
      <c r="D58" s="189"/>
    </row>
    <row r="59" spans="1:15" s="1" customFormat="1" x14ac:dyDescent="0.25">
      <c r="A59" s="2" t="s">
        <v>42</v>
      </c>
      <c r="B59" s="3" t="s">
        <v>2</v>
      </c>
      <c r="C59" s="3" t="s">
        <v>3</v>
      </c>
      <c r="D59" s="3" t="s">
        <v>4</v>
      </c>
      <c r="E59" s="3" t="s">
        <v>5</v>
      </c>
      <c r="F59" s="3" t="s">
        <v>6</v>
      </c>
      <c r="G59" s="3" t="s">
        <v>7</v>
      </c>
      <c r="H59" s="3" t="s">
        <v>8</v>
      </c>
      <c r="I59" s="3" t="s">
        <v>9</v>
      </c>
      <c r="J59" s="3" t="s">
        <v>10</v>
      </c>
      <c r="K59" s="3" t="s">
        <v>11</v>
      </c>
      <c r="L59" s="3" t="s">
        <v>12</v>
      </c>
      <c r="M59" s="3" t="s">
        <v>13</v>
      </c>
      <c r="N59" s="4" t="s">
        <v>14</v>
      </c>
    </row>
    <row r="60" spans="1:15" s="1" customForma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5" s="1" customFormat="1" x14ac:dyDescent="0.25">
      <c r="A61" s="4" t="s">
        <v>15</v>
      </c>
      <c r="B61" s="5">
        <f>43-13+1</f>
        <v>31</v>
      </c>
      <c r="C61" s="3">
        <v>31</v>
      </c>
      <c r="D61" s="3">
        <v>31</v>
      </c>
      <c r="E61" s="3">
        <v>31</v>
      </c>
      <c r="F61" s="3">
        <v>31</v>
      </c>
      <c r="G61" s="6">
        <v>32</v>
      </c>
      <c r="H61" s="3">
        <v>32</v>
      </c>
      <c r="I61" s="3">
        <v>32</v>
      </c>
      <c r="J61" s="3">
        <v>32</v>
      </c>
      <c r="K61" s="3">
        <v>33</v>
      </c>
      <c r="L61" s="3">
        <v>33</v>
      </c>
      <c r="M61" s="3">
        <v>33</v>
      </c>
      <c r="N61" s="7">
        <f>SUM(B61:M61)/12</f>
        <v>31.833333333333332</v>
      </c>
    </row>
    <row r="62" spans="1:15" s="1" customFormat="1" x14ac:dyDescent="0.25">
      <c r="A62" s="4" t="s">
        <v>16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>
        <f>SUM(B62:M62)/12</f>
        <v>0</v>
      </c>
    </row>
    <row r="63" spans="1:15" s="1" customFormat="1" x14ac:dyDescent="0.25">
      <c r="A63" s="4" t="s">
        <v>17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9">
        <f>SUM(B63:M63)/12</f>
        <v>0</v>
      </c>
    </row>
    <row r="64" spans="1:15" s="1" customFormat="1" x14ac:dyDescent="0.25">
      <c r="A64" s="4"/>
      <c r="B64" s="10"/>
      <c r="C64" s="10"/>
      <c r="D64" s="10"/>
      <c r="E64" s="10"/>
      <c r="F64" s="10"/>
      <c r="G64" s="10"/>
      <c r="H64" s="8"/>
      <c r="I64" s="10"/>
      <c r="J64" s="10"/>
      <c r="K64" s="10"/>
      <c r="L64" s="10"/>
      <c r="M64" s="10"/>
      <c r="N64" s="11"/>
      <c r="O64" s="12"/>
    </row>
    <row r="65" spans="1:15" s="1" customFormat="1" x14ac:dyDescent="0.25">
      <c r="A65" s="2" t="s">
        <v>51</v>
      </c>
      <c r="B65" s="3">
        <f>B61+(B63*1.5)+(B62*0.8)</f>
        <v>31</v>
      </c>
      <c r="C65" s="3">
        <f>C61+(C63*1.5)+(C62*0.8)</f>
        <v>31</v>
      </c>
      <c r="D65" s="3">
        <f>D61+(D63*1.5)+(D62*0.8)</f>
        <v>31</v>
      </c>
      <c r="E65" s="3">
        <f>E61+(E63*1.5)+(E62*0.8)</f>
        <v>31</v>
      </c>
      <c r="F65" s="3">
        <f>F61+(F63*1.5)+(F62*0.8)</f>
        <v>31</v>
      </c>
      <c r="G65" s="3">
        <f t="shared" ref="G65:M65" si="5">G61+(G63*1.5)+(G62*0.8)</f>
        <v>32</v>
      </c>
      <c r="H65" s="3">
        <f t="shared" si="5"/>
        <v>32</v>
      </c>
      <c r="I65" s="3">
        <f t="shared" si="5"/>
        <v>32</v>
      </c>
      <c r="J65" s="3">
        <f t="shared" si="5"/>
        <v>32</v>
      </c>
      <c r="K65" s="3">
        <f t="shared" si="5"/>
        <v>33</v>
      </c>
      <c r="L65" s="3">
        <f t="shared" si="5"/>
        <v>33</v>
      </c>
      <c r="M65" s="3">
        <f t="shared" si="5"/>
        <v>33</v>
      </c>
      <c r="N65" s="9">
        <f>SUM(B65:M65)/12</f>
        <v>31.833333333333332</v>
      </c>
    </row>
    <row r="66" spans="1:15" s="1" customFormat="1" x14ac:dyDescent="0.25">
      <c r="A66" s="13" t="s">
        <v>19</v>
      </c>
      <c r="B66" s="14">
        <v>1</v>
      </c>
      <c r="C66" s="15"/>
      <c r="D66" s="15"/>
      <c r="E66" s="15"/>
      <c r="F66" s="15"/>
      <c r="G66" s="15">
        <v>1</v>
      </c>
      <c r="H66" s="15"/>
      <c r="I66" s="15"/>
      <c r="J66" s="15"/>
      <c r="K66" s="15">
        <v>1</v>
      </c>
      <c r="L66" s="15"/>
      <c r="M66" s="15"/>
      <c r="N66" s="16">
        <f>SUM(B66:M66)</f>
        <v>3</v>
      </c>
      <c r="O66" s="15"/>
    </row>
    <row r="67" spans="1:15" x14ac:dyDescent="0.25">
      <c r="B67" s="43" t="s">
        <v>129</v>
      </c>
    </row>
    <row r="69" spans="1:15" x14ac:dyDescent="0.25">
      <c r="A69" s="35" t="s">
        <v>39</v>
      </c>
      <c r="B69" s="72"/>
      <c r="C69" s="72"/>
      <c r="D69" s="7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</row>
    <row r="70" spans="1:15" x14ac:dyDescent="0.25">
      <c r="A70" s="69" t="s">
        <v>42</v>
      </c>
      <c r="B70" s="70" t="s">
        <v>2</v>
      </c>
      <c r="C70" s="70" t="s">
        <v>3</v>
      </c>
      <c r="D70" s="70" t="s">
        <v>4</v>
      </c>
      <c r="E70" s="70" t="s">
        <v>5</v>
      </c>
      <c r="F70" s="70" t="s">
        <v>6</v>
      </c>
      <c r="G70" s="70" t="s">
        <v>7</v>
      </c>
      <c r="H70" s="70" t="s">
        <v>8</v>
      </c>
      <c r="I70" s="70" t="s">
        <v>9</v>
      </c>
      <c r="J70" s="70" t="s">
        <v>10</v>
      </c>
      <c r="K70" s="70" t="s">
        <v>11</v>
      </c>
      <c r="L70" s="70" t="s">
        <v>12</v>
      </c>
      <c r="M70" s="70" t="s">
        <v>13</v>
      </c>
      <c r="N70" s="71" t="s">
        <v>14</v>
      </c>
      <c r="O70" s="62"/>
    </row>
    <row r="71" spans="1:15" x14ac:dyDescent="0.2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62"/>
    </row>
    <row r="72" spans="1:15" x14ac:dyDescent="0.25">
      <c r="A72" s="71" t="s">
        <v>15</v>
      </c>
      <c r="B72" s="28">
        <v>33</v>
      </c>
      <c r="C72" s="54">
        <v>33</v>
      </c>
      <c r="D72" s="54">
        <v>34</v>
      </c>
      <c r="E72" s="54">
        <v>37</v>
      </c>
      <c r="F72" s="54">
        <v>37</v>
      </c>
      <c r="G72" s="215">
        <v>38</v>
      </c>
      <c r="H72" s="54">
        <v>38</v>
      </c>
      <c r="I72" s="54">
        <v>39</v>
      </c>
      <c r="J72" s="54">
        <v>39</v>
      </c>
      <c r="K72" s="54">
        <v>39</v>
      </c>
      <c r="L72" s="54">
        <f>39+3-2</f>
        <v>40</v>
      </c>
      <c r="M72" s="3">
        <v>41</v>
      </c>
      <c r="N72" s="7">
        <f>SUM(B72:M72)/12</f>
        <v>37.333333333333336</v>
      </c>
      <c r="O72" s="62"/>
    </row>
    <row r="73" spans="1:15" x14ac:dyDescent="0.25">
      <c r="A73" s="71" t="s">
        <v>16</v>
      </c>
      <c r="B73" s="29">
        <v>1</v>
      </c>
      <c r="C73" s="29">
        <v>1</v>
      </c>
      <c r="D73" s="29">
        <v>1</v>
      </c>
      <c r="E73" s="29">
        <v>0</v>
      </c>
      <c r="F73" s="29"/>
      <c r="G73" s="29"/>
      <c r="H73" s="29"/>
      <c r="I73" s="29"/>
      <c r="J73" s="29"/>
      <c r="K73" s="29"/>
      <c r="L73" s="29"/>
      <c r="M73" s="8"/>
      <c r="N73" s="9">
        <f>SUM(B73:M73)/12</f>
        <v>0.25</v>
      </c>
      <c r="O73" s="62"/>
    </row>
    <row r="74" spans="1:15" x14ac:dyDescent="0.25">
      <c r="A74" s="71" t="s">
        <v>17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10"/>
      <c r="N74" s="9">
        <f>SUM(B74:M74)/12</f>
        <v>0</v>
      </c>
      <c r="O74" s="62"/>
    </row>
    <row r="75" spans="1:15" x14ac:dyDescent="0.25">
      <c r="A75" s="71"/>
      <c r="B75" s="10"/>
      <c r="C75" s="10"/>
      <c r="D75" s="10"/>
      <c r="E75" s="10"/>
      <c r="F75" s="10"/>
      <c r="G75" s="10"/>
      <c r="H75" s="8"/>
      <c r="I75" s="10"/>
      <c r="J75" s="10"/>
      <c r="K75" s="10"/>
      <c r="L75" s="10"/>
      <c r="M75" s="10"/>
      <c r="N75" s="11"/>
      <c r="O75" s="63"/>
    </row>
    <row r="76" spans="1:15" x14ac:dyDescent="0.25">
      <c r="A76" s="69" t="s">
        <v>18</v>
      </c>
      <c r="B76" s="3">
        <f>B72+(B74*1.5)+(B73*0.8)</f>
        <v>33.799999999999997</v>
      </c>
      <c r="C76" s="3">
        <f>C72+(C74*1.5)+(C73*0.8)</f>
        <v>33.799999999999997</v>
      </c>
      <c r="D76" s="3">
        <f>D72+(D74*1.5)+(D73*0.8)</f>
        <v>34.799999999999997</v>
      </c>
      <c r="E76" s="3">
        <f>E72+(E74*1.5)+(E73*0.8)</f>
        <v>37</v>
      </c>
      <c r="F76" s="3">
        <f>F72+(F74*1.5)+(F73*0.8)</f>
        <v>37</v>
      </c>
      <c r="G76" s="3">
        <f t="shared" ref="G76:M76" si="6">G72+(G74*1.5)+(G73*0.8)</f>
        <v>38</v>
      </c>
      <c r="H76" s="3">
        <f t="shared" si="6"/>
        <v>38</v>
      </c>
      <c r="I76" s="3">
        <f t="shared" si="6"/>
        <v>39</v>
      </c>
      <c r="J76" s="3">
        <f t="shared" si="6"/>
        <v>39</v>
      </c>
      <c r="K76" s="3">
        <f t="shared" si="6"/>
        <v>39</v>
      </c>
      <c r="L76" s="3">
        <f t="shared" si="6"/>
        <v>40</v>
      </c>
      <c r="M76" s="3">
        <f t="shared" si="6"/>
        <v>41</v>
      </c>
      <c r="N76" s="9">
        <f>SUM(B76:M76)/12</f>
        <v>37.533333333333331</v>
      </c>
      <c r="O76" s="62"/>
    </row>
    <row r="77" spans="1:15" x14ac:dyDescent="0.25">
      <c r="A77" s="67" t="s">
        <v>19</v>
      </c>
      <c r="B77" s="65">
        <v>1</v>
      </c>
      <c r="C77" s="64">
        <v>0</v>
      </c>
      <c r="D77" s="64">
        <v>1</v>
      </c>
      <c r="E77" s="64">
        <v>2</v>
      </c>
      <c r="F77" s="64">
        <v>0</v>
      </c>
      <c r="G77" s="64">
        <v>1</v>
      </c>
      <c r="H77" s="64">
        <v>0</v>
      </c>
      <c r="I77" s="64">
        <v>1</v>
      </c>
      <c r="J77" s="64">
        <v>0</v>
      </c>
      <c r="K77" s="64">
        <v>0</v>
      </c>
      <c r="L77" s="64">
        <v>3</v>
      </c>
      <c r="M77" s="64">
        <v>1</v>
      </c>
      <c r="N77" s="68">
        <f>SUM(B77:M77)</f>
        <v>10</v>
      </c>
      <c r="O77" s="62"/>
    </row>
    <row r="78" spans="1:15" x14ac:dyDescent="0.25">
      <c r="A78" s="61"/>
      <c r="B78" s="73" t="s">
        <v>38</v>
      </c>
      <c r="C78" s="61"/>
      <c r="D78" s="66" t="s">
        <v>41</v>
      </c>
      <c r="E78" s="61"/>
      <c r="F78" s="61"/>
      <c r="G78" s="61"/>
      <c r="H78" s="61"/>
      <c r="I78" s="61"/>
      <c r="J78" s="61"/>
      <c r="K78" s="66" t="s">
        <v>237</v>
      </c>
      <c r="L78" s="61"/>
      <c r="M78" s="61"/>
      <c r="N78" s="61"/>
      <c r="O78" s="61"/>
    </row>
  </sheetData>
  <pageMargins left="0" right="0" top="0.15748031496062992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workbookViewId="0">
      <selection activeCell="C12" sqref="C12"/>
    </sheetView>
  </sheetViews>
  <sheetFormatPr defaultRowHeight="15" x14ac:dyDescent="0.25"/>
  <sheetData>
    <row r="1" spans="1:15" x14ac:dyDescent="0.25">
      <c r="A1" s="155" t="s">
        <v>384</v>
      </c>
    </row>
    <row r="3" spans="1:15" x14ac:dyDescent="0.25">
      <c r="A3" s="274" t="s">
        <v>374</v>
      </c>
      <c r="B3" s="274"/>
      <c r="C3" s="274"/>
      <c r="D3" s="274"/>
    </row>
    <row r="4" spans="1:15" x14ac:dyDescent="0.25">
      <c r="A4" s="140" t="s">
        <v>43</v>
      </c>
      <c r="B4" s="141" t="s">
        <v>2</v>
      </c>
      <c r="C4" s="141" t="s">
        <v>3</v>
      </c>
      <c r="D4" s="141" t="s">
        <v>4</v>
      </c>
      <c r="E4" s="141" t="s">
        <v>5</v>
      </c>
      <c r="F4" s="141" t="s">
        <v>6</v>
      </c>
      <c r="G4" s="141" t="s">
        <v>7</v>
      </c>
      <c r="H4" s="141" t="s">
        <v>8</v>
      </c>
      <c r="I4" s="141" t="s">
        <v>9</v>
      </c>
      <c r="J4" s="141" t="s">
        <v>10</v>
      </c>
      <c r="K4" s="141" t="s">
        <v>11</v>
      </c>
      <c r="L4" s="141" t="s">
        <v>12</v>
      </c>
      <c r="M4" s="141" t="s">
        <v>13</v>
      </c>
      <c r="N4" s="142" t="s">
        <v>14</v>
      </c>
    </row>
    <row r="5" spans="1:15" x14ac:dyDescent="0.2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5" x14ac:dyDescent="0.25">
      <c r="A6" s="142" t="s">
        <v>15</v>
      </c>
      <c r="B6" s="154">
        <v>62</v>
      </c>
      <c r="C6" s="150">
        <f>62+1</f>
        <v>63</v>
      </c>
      <c r="D6" s="150">
        <v>66</v>
      </c>
      <c r="E6" s="150">
        <v>66</v>
      </c>
      <c r="F6" s="150">
        <v>66</v>
      </c>
      <c r="G6" s="151">
        <f>66-1-0.5</f>
        <v>64.5</v>
      </c>
      <c r="H6" s="150">
        <f>64-1+2</f>
        <v>65</v>
      </c>
      <c r="I6" s="150">
        <v>67</v>
      </c>
      <c r="J6" s="150">
        <v>69</v>
      </c>
      <c r="K6" s="150">
        <v>70</v>
      </c>
      <c r="L6" s="150">
        <v>71</v>
      </c>
      <c r="M6" s="150">
        <v>75</v>
      </c>
      <c r="N6" s="7">
        <f>SUM(B6:M6)/12</f>
        <v>67.041666666666671</v>
      </c>
    </row>
    <row r="7" spans="1:15" x14ac:dyDescent="0.25">
      <c r="A7" s="142" t="s">
        <v>16</v>
      </c>
      <c r="B7" s="40">
        <v>1</v>
      </c>
      <c r="C7" s="40">
        <v>2</v>
      </c>
      <c r="D7" s="40">
        <v>2</v>
      </c>
      <c r="E7" s="40">
        <f>2.5</f>
        <v>2.5</v>
      </c>
      <c r="F7" s="40">
        <v>3</v>
      </c>
      <c r="G7" s="40">
        <v>3</v>
      </c>
      <c r="H7" s="40">
        <v>3</v>
      </c>
      <c r="I7" s="40">
        <v>3</v>
      </c>
      <c r="J7" s="40">
        <v>3</v>
      </c>
      <c r="K7" s="40">
        <v>3</v>
      </c>
      <c r="L7" s="40">
        <v>3</v>
      </c>
      <c r="M7" s="40">
        <v>3</v>
      </c>
      <c r="N7" s="9">
        <f>SUM(B7:M7)/12</f>
        <v>2.625</v>
      </c>
    </row>
    <row r="8" spans="1:15" x14ac:dyDescent="0.25">
      <c r="A8" s="142" t="s">
        <v>17</v>
      </c>
      <c r="B8" s="40"/>
      <c r="C8" s="40"/>
      <c r="D8" s="40"/>
      <c r="E8" s="40"/>
      <c r="F8" s="40"/>
      <c r="G8" s="40"/>
      <c r="H8" s="40"/>
      <c r="I8" s="40">
        <v>1</v>
      </c>
      <c r="J8" s="40"/>
      <c r="K8" s="40"/>
      <c r="L8" s="40"/>
      <c r="M8" s="40"/>
      <c r="N8" s="9">
        <f>SUM(B8:M8)/12</f>
        <v>8.3333333333333329E-2</v>
      </c>
    </row>
    <row r="9" spans="1:15" x14ac:dyDescent="0.25">
      <c r="A9" s="142"/>
      <c r="B9" s="10"/>
      <c r="C9" s="10"/>
      <c r="D9" s="10"/>
      <c r="E9" s="10"/>
      <c r="F9" s="10"/>
      <c r="G9" s="10"/>
      <c r="H9" s="8"/>
      <c r="I9" s="10"/>
      <c r="J9" s="10"/>
      <c r="K9" s="10"/>
      <c r="L9" s="10"/>
      <c r="M9" s="10"/>
      <c r="N9" s="11"/>
    </row>
    <row r="10" spans="1:15" x14ac:dyDescent="0.25">
      <c r="A10" s="140" t="s">
        <v>51</v>
      </c>
      <c r="B10" s="3">
        <f>B6+(B8*1.5)+(B7*0.8)</f>
        <v>62.8</v>
      </c>
      <c r="C10" s="3">
        <f>C6+(C8*1.5)+(C7*0.8)</f>
        <v>64.599999999999994</v>
      </c>
      <c r="D10" s="3">
        <f>D6+(D8*1.5)+(D7*0.8)</f>
        <v>67.599999999999994</v>
      </c>
      <c r="E10" s="3">
        <f>E6+(E8*1.5)+(E7*0.8)</f>
        <v>68</v>
      </c>
      <c r="F10" s="3">
        <f>F6+(F8*1.5)+(F7*0.8)</f>
        <v>68.400000000000006</v>
      </c>
      <c r="G10" s="3">
        <f t="shared" ref="G10:M10" si="0">G6+(G8*1.5)+(G7*0.8)</f>
        <v>66.900000000000006</v>
      </c>
      <c r="H10" s="3">
        <f t="shared" si="0"/>
        <v>67.400000000000006</v>
      </c>
      <c r="I10" s="3">
        <f t="shared" si="0"/>
        <v>70.900000000000006</v>
      </c>
      <c r="J10" s="3">
        <f t="shared" si="0"/>
        <v>71.400000000000006</v>
      </c>
      <c r="K10" s="3">
        <f t="shared" si="0"/>
        <v>72.400000000000006</v>
      </c>
      <c r="L10" s="3">
        <f t="shared" si="0"/>
        <v>73.400000000000006</v>
      </c>
      <c r="M10" s="3">
        <f t="shared" si="0"/>
        <v>77.400000000000006</v>
      </c>
      <c r="N10" s="9">
        <f>SUM(B10:M10)/12</f>
        <v>69.266666666666652</v>
      </c>
    </row>
    <row r="11" spans="1:15" x14ac:dyDescent="0.25">
      <c r="A11" s="81" t="s">
        <v>19</v>
      </c>
      <c r="B11" s="80">
        <v>3</v>
      </c>
      <c r="C11" s="79">
        <v>2</v>
      </c>
      <c r="D11" s="79">
        <v>3</v>
      </c>
      <c r="E11" s="79">
        <v>1</v>
      </c>
      <c r="F11" s="79">
        <v>0</v>
      </c>
      <c r="G11" s="79">
        <v>0</v>
      </c>
      <c r="H11" s="79">
        <v>2</v>
      </c>
      <c r="I11" s="79">
        <v>3</v>
      </c>
      <c r="J11" s="79">
        <v>1</v>
      </c>
      <c r="K11" s="79">
        <v>1</v>
      </c>
      <c r="L11" s="79">
        <v>1</v>
      </c>
      <c r="M11" s="79">
        <v>4</v>
      </c>
      <c r="N11" s="82">
        <f>SUM(B11:M11)</f>
        <v>21</v>
      </c>
    </row>
    <row r="12" spans="1:15" ht="15.75" thickBot="1" x14ac:dyDescent="0.3">
      <c r="B12" s="43" t="s">
        <v>63</v>
      </c>
      <c r="C12" s="50" t="s">
        <v>382</v>
      </c>
      <c r="D12" s="50"/>
      <c r="E12" s="50" t="s">
        <v>388</v>
      </c>
      <c r="F12" s="50"/>
      <c r="G12" s="50" t="s">
        <v>137</v>
      </c>
      <c r="H12" s="50"/>
      <c r="I12" s="50">
        <v>-190412</v>
      </c>
      <c r="J12" s="50"/>
      <c r="K12" s="50"/>
      <c r="L12" s="50"/>
      <c r="M12" s="50"/>
    </row>
    <row r="13" spans="1:15" ht="15.75" thickBot="1" x14ac:dyDescent="0.3">
      <c r="B13" s="43" t="s">
        <v>94</v>
      </c>
      <c r="C13" s="50"/>
      <c r="D13" s="50"/>
      <c r="E13" s="50"/>
      <c r="F13" s="50" t="s">
        <v>377</v>
      </c>
      <c r="G13" s="50" t="s">
        <v>387</v>
      </c>
      <c r="H13" s="50"/>
      <c r="I13" s="50"/>
      <c r="J13" s="50"/>
      <c r="K13" s="50"/>
      <c r="L13" s="50"/>
      <c r="M13" s="162" t="s">
        <v>89</v>
      </c>
      <c r="N13" s="163"/>
    </row>
    <row r="14" spans="1:15" ht="14.25" customHeight="1" x14ac:dyDescent="0.25">
      <c r="E14" s="156"/>
      <c r="F14" s="23"/>
      <c r="G14" s="23"/>
      <c r="L14" s="79"/>
      <c r="M14" s="23"/>
      <c r="N14" s="23"/>
      <c r="O14" s="23"/>
    </row>
    <row r="15" spans="1:15" ht="14.25" customHeight="1" x14ac:dyDescent="0.25">
      <c r="A15" s="221" t="s">
        <v>284</v>
      </c>
      <c r="B15" s="221"/>
      <c r="C15" s="221"/>
      <c r="D15" s="221"/>
      <c r="O15" s="23"/>
    </row>
    <row r="16" spans="1:15" x14ac:dyDescent="0.25">
      <c r="A16" s="140" t="s">
        <v>43</v>
      </c>
      <c r="B16" s="141" t="s">
        <v>2</v>
      </c>
      <c r="C16" s="141" t="s">
        <v>3</v>
      </c>
      <c r="D16" s="141" t="s">
        <v>4</v>
      </c>
      <c r="E16" s="141" t="s">
        <v>5</v>
      </c>
      <c r="F16" s="141" t="s">
        <v>6</v>
      </c>
      <c r="G16" s="141" t="s">
        <v>7</v>
      </c>
      <c r="H16" s="141" t="s">
        <v>8</v>
      </c>
      <c r="I16" s="141" t="s">
        <v>9</v>
      </c>
      <c r="J16" s="141" t="s">
        <v>10</v>
      </c>
      <c r="K16" s="141" t="s">
        <v>11</v>
      </c>
      <c r="L16" s="141" t="s">
        <v>12</v>
      </c>
      <c r="M16" s="141" t="s">
        <v>13</v>
      </c>
      <c r="N16" s="142" t="s">
        <v>14</v>
      </c>
      <c r="O16" s="76"/>
    </row>
    <row r="17" spans="1:15" x14ac:dyDescent="0.2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5" x14ac:dyDescent="0.25">
      <c r="A18" s="142" t="s">
        <v>15</v>
      </c>
      <c r="B18" s="154">
        <f>79-20+3</f>
        <v>62</v>
      </c>
      <c r="C18" s="150">
        <v>63</v>
      </c>
      <c r="D18" s="150">
        <v>67</v>
      </c>
      <c r="E18" s="150">
        <v>67</v>
      </c>
      <c r="F18" s="150">
        <v>67</v>
      </c>
      <c r="G18" s="151">
        <v>67</v>
      </c>
      <c r="H18" s="150">
        <v>68</v>
      </c>
      <c r="I18" s="150">
        <v>70</v>
      </c>
      <c r="J18" s="150">
        <v>72</v>
      </c>
      <c r="K18" s="150">
        <v>73</v>
      </c>
      <c r="L18" s="150">
        <v>74</v>
      </c>
      <c r="M18" s="150">
        <v>79</v>
      </c>
      <c r="N18" s="7">
        <f>SUM(B18:M18)/12</f>
        <v>69.083333333333329</v>
      </c>
    </row>
    <row r="19" spans="1:15" x14ac:dyDescent="0.25">
      <c r="A19" s="142" t="s">
        <v>16</v>
      </c>
      <c r="B19" s="40">
        <f>3-2</f>
        <v>1</v>
      </c>
      <c r="C19" s="40">
        <v>1</v>
      </c>
      <c r="D19" s="40">
        <v>1</v>
      </c>
      <c r="E19" s="40">
        <v>1</v>
      </c>
      <c r="F19" s="40">
        <v>1</v>
      </c>
      <c r="G19" s="40">
        <v>1</v>
      </c>
      <c r="H19" s="40">
        <v>1</v>
      </c>
      <c r="I19" s="40">
        <v>1</v>
      </c>
      <c r="J19" s="40">
        <v>1</v>
      </c>
      <c r="K19" s="40">
        <v>1</v>
      </c>
      <c r="L19" s="40">
        <v>1</v>
      </c>
      <c r="M19" s="40">
        <v>1</v>
      </c>
      <c r="N19" s="9">
        <f>SUM(B19:M19)/12</f>
        <v>1</v>
      </c>
    </row>
    <row r="20" spans="1:15" x14ac:dyDescent="0.25">
      <c r="A20" s="142" t="s">
        <v>17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9">
        <f>SUM(B20:M20)/12</f>
        <v>0</v>
      </c>
    </row>
    <row r="21" spans="1:15" x14ac:dyDescent="0.25">
      <c r="A21" s="142"/>
      <c r="B21" s="10"/>
      <c r="C21" s="10"/>
      <c r="D21" s="10"/>
      <c r="E21" s="10"/>
      <c r="F21" s="10"/>
      <c r="G21" s="10"/>
      <c r="H21" s="8"/>
      <c r="I21" s="10"/>
      <c r="J21" s="10"/>
      <c r="K21" s="10"/>
      <c r="L21" s="10"/>
      <c r="M21" s="10"/>
      <c r="N21" s="11"/>
    </row>
    <row r="22" spans="1:15" x14ac:dyDescent="0.25">
      <c r="A22" s="140" t="s">
        <v>51</v>
      </c>
      <c r="B22" s="3">
        <f>B18+(B20*1.5)+(B19*0.8)</f>
        <v>62.8</v>
      </c>
      <c r="C22" s="3">
        <f>C18+(C20*1.5)+(C19*0.8)</f>
        <v>63.8</v>
      </c>
      <c r="D22" s="3">
        <f>D18+(D20*1.5)+(D19*0.8)</f>
        <v>67.8</v>
      </c>
      <c r="E22" s="3">
        <f>E18+(E20*1.5)+(E19*0.8)</f>
        <v>67.8</v>
      </c>
      <c r="F22" s="3">
        <f>F18+(F20*1.5)+(F19*0.8)</f>
        <v>67.8</v>
      </c>
      <c r="G22" s="3">
        <f t="shared" ref="G22:M22" si="1">G18+(G20*1.5)+(G19*0.8)</f>
        <v>67.8</v>
      </c>
      <c r="H22" s="3">
        <f t="shared" si="1"/>
        <v>68.8</v>
      </c>
      <c r="I22" s="3">
        <f t="shared" si="1"/>
        <v>70.8</v>
      </c>
      <c r="J22" s="3">
        <f t="shared" si="1"/>
        <v>72.8</v>
      </c>
      <c r="K22" s="3">
        <f t="shared" si="1"/>
        <v>73.8</v>
      </c>
      <c r="L22" s="3">
        <f t="shared" si="1"/>
        <v>74.8</v>
      </c>
      <c r="M22" s="3">
        <f t="shared" si="1"/>
        <v>79.8</v>
      </c>
      <c r="N22" s="9">
        <f>SUM(B22:M22)/12</f>
        <v>69.883333333333312</v>
      </c>
    </row>
    <row r="23" spans="1:15" x14ac:dyDescent="0.25">
      <c r="A23" s="81" t="s">
        <v>19</v>
      </c>
      <c r="B23" s="80">
        <v>3</v>
      </c>
      <c r="C23" s="79">
        <v>1</v>
      </c>
      <c r="D23" s="79">
        <v>4</v>
      </c>
      <c r="E23" s="79">
        <v>0</v>
      </c>
      <c r="F23" s="79">
        <v>0</v>
      </c>
      <c r="G23" s="79">
        <v>0</v>
      </c>
      <c r="H23" s="79">
        <v>1</v>
      </c>
      <c r="I23" s="79">
        <v>2</v>
      </c>
      <c r="J23" s="79">
        <v>2</v>
      </c>
      <c r="K23" s="79">
        <v>1</v>
      </c>
      <c r="L23" s="79">
        <v>1</v>
      </c>
      <c r="M23" s="79">
        <v>5</v>
      </c>
      <c r="N23" s="82">
        <f>SUM(B23:M23)</f>
        <v>20</v>
      </c>
    </row>
    <row r="24" spans="1:15" x14ac:dyDescent="0.25">
      <c r="B24" s="43" t="s">
        <v>63</v>
      </c>
    </row>
    <row r="25" spans="1:15" x14ac:dyDescent="0.25">
      <c r="B25" s="43" t="s">
        <v>94</v>
      </c>
    </row>
    <row r="26" spans="1:15" x14ac:dyDescent="0.2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</row>
    <row r="27" spans="1:15" x14ac:dyDescent="0.25">
      <c r="A27" s="251" t="s">
        <v>383</v>
      </c>
      <c r="B27" s="251"/>
      <c r="C27" s="251"/>
      <c r="D27" s="251"/>
      <c r="O27" s="76"/>
    </row>
    <row r="28" spans="1:15" x14ac:dyDescent="0.25">
      <c r="A28" s="140" t="s">
        <v>43</v>
      </c>
      <c r="B28" s="141" t="s">
        <v>2</v>
      </c>
      <c r="C28" s="141" t="s">
        <v>3</v>
      </c>
      <c r="D28" s="141" t="s">
        <v>4</v>
      </c>
      <c r="E28" s="141" t="s">
        <v>5</v>
      </c>
      <c r="F28" s="141" t="s">
        <v>6</v>
      </c>
      <c r="G28" s="141" t="s">
        <v>7</v>
      </c>
      <c r="H28" s="141" t="s">
        <v>8</v>
      </c>
      <c r="I28" s="141" t="s">
        <v>9</v>
      </c>
      <c r="J28" s="141" t="s">
        <v>10</v>
      </c>
      <c r="K28" s="141" t="s">
        <v>11</v>
      </c>
      <c r="L28" s="141" t="s">
        <v>12</v>
      </c>
      <c r="M28" s="141" t="s">
        <v>13</v>
      </c>
      <c r="N28" s="142" t="s">
        <v>14</v>
      </c>
    </row>
    <row r="29" spans="1:15" x14ac:dyDescent="0.2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</row>
    <row r="30" spans="1:15" x14ac:dyDescent="0.25">
      <c r="A30" s="142" t="s">
        <v>15</v>
      </c>
      <c r="B30" s="154">
        <f>75-24</f>
        <v>51</v>
      </c>
      <c r="C30" s="150">
        <v>52</v>
      </c>
      <c r="D30" s="150">
        <v>53</v>
      </c>
      <c r="E30" s="150">
        <v>56</v>
      </c>
      <c r="F30" s="150">
        <v>56</v>
      </c>
      <c r="G30" s="151">
        <v>56</v>
      </c>
      <c r="H30" s="150">
        <v>58</v>
      </c>
      <c r="I30" s="150">
        <v>58</v>
      </c>
      <c r="J30" s="150">
        <v>60</v>
      </c>
      <c r="K30" s="150">
        <v>62</v>
      </c>
      <c r="L30" s="150">
        <v>66</v>
      </c>
      <c r="M30" s="150">
        <v>67</v>
      </c>
      <c r="N30" s="7">
        <f>SUM(B30:M30)/12</f>
        <v>57.916666666666664</v>
      </c>
    </row>
    <row r="31" spans="1:15" x14ac:dyDescent="0.25">
      <c r="A31" s="142" t="s">
        <v>16</v>
      </c>
      <c r="B31" s="40">
        <f>3-2</f>
        <v>1</v>
      </c>
      <c r="C31" s="40">
        <v>1</v>
      </c>
      <c r="D31" s="40">
        <v>1</v>
      </c>
      <c r="E31" s="40">
        <v>1</v>
      </c>
      <c r="F31" s="40">
        <v>1</v>
      </c>
      <c r="G31" s="40">
        <v>1</v>
      </c>
      <c r="H31" s="40">
        <v>1</v>
      </c>
      <c r="I31" s="40">
        <v>1</v>
      </c>
      <c r="J31" s="40">
        <v>1</v>
      </c>
      <c r="K31" s="40">
        <v>1</v>
      </c>
      <c r="L31" s="40">
        <v>1</v>
      </c>
      <c r="M31" s="40">
        <v>1</v>
      </c>
      <c r="N31" s="9">
        <f>SUM(B31:M31)/12</f>
        <v>1</v>
      </c>
    </row>
    <row r="32" spans="1:15" x14ac:dyDescent="0.25">
      <c r="A32" s="142" t="s">
        <v>17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9">
        <f>SUM(B32:M32)/12</f>
        <v>0</v>
      </c>
    </row>
    <row r="33" spans="1:15" x14ac:dyDescent="0.25">
      <c r="A33" s="142"/>
      <c r="B33" s="10"/>
      <c r="C33" s="10"/>
      <c r="D33" s="10"/>
      <c r="E33" s="10"/>
      <c r="F33" s="10"/>
      <c r="G33" s="10"/>
      <c r="H33" s="8"/>
      <c r="I33" s="10"/>
      <c r="J33" s="10"/>
      <c r="K33" s="10"/>
      <c r="L33" s="10"/>
      <c r="M33" s="10"/>
      <c r="N33" s="11"/>
    </row>
    <row r="34" spans="1:15" x14ac:dyDescent="0.25">
      <c r="A34" s="140" t="s">
        <v>269</v>
      </c>
      <c r="B34" s="3">
        <f>B30+(B32*1.5)+(B31*0.8)</f>
        <v>51.8</v>
      </c>
      <c r="C34" s="3">
        <f>C30+(C32*1.5)+(C31*0.8)</f>
        <v>52.8</v>
      </c>
      <c r="D34" s="3">
        <f>D30+(D32*1.5)+(D31*0.8)</f>
        <v>53.8</v>
      </c>
      <c r="E34" s="3">
        <f>E30+(E32*1.5)+(E31*0.8)</f>
        <v>56.8</v>
      </c>
      <c r="F34" s="3">
        <f>F30+(F32*1.5)+(F31*0.8)</f>
        <v>56.8</v>
      </c>
      <c r="G34" s="3">
        <f t="shared" ref="G34:M34" si="2">G30+(G32*1.5)+(G31*0.8)</f>
        <v>56.8</v>
      </c>
      <c r="H34" s="3">
        <f t="shared" si="2"/>
        <v>58.8</v>
      </c>
      <c r="I34" s="3">
        <f t="shared" si="2"/>
        <v>58.8</v>
      </c>
      <c r="J34" s="3">
        <f t="shared" si="2"/>
        <v>60.8</v>
      </c>
      <c r="K34" s="3">
        <f t="shared" si="2"/>
        <v>62.8</v>
      </c>
      <c r="L34" s="3">
        <f t="shared" si="2"/>
        <v>66.8</v>
      </c>
      <c r="M34" s="3">
        <f t="shared" si="2"/>
        <v>67.8</v>
      </c>
      <c r="N34" s="9">
        <f>SUM(B34:M34)/12</f>
        <v>58.716666666666661</v>
      </c>
    </row>
    <row r="35" spans="1:15" x14ac:dyDescent="0.25">
      <c r="A35" s="81" t="s">
        <v>19</v>
      </c>
      <c r="B35" s="80">
        <v>0</v>
      </c>
      <c r="C35" s="79">
        <v>1</v>
      </c>
      <c r="D35" s="79">
        <v>1</v>
      </c>
      <c r="E35" s="79">
        <v>3</v>
      </c>
      <c r="F35" s="79">
        <v>0</v>
      </c>
      <c r="G35" s="79">
        <v>0</v>
      </c>
      <c r="H35" s="79">
        <v>2</v>
      </c>
      <c r="I35" s="79">
        <v>0</v>
      </c>
      <c r="J35" s="79">
        <v>2</v>
      </c>
      <c r="K35" s="79">
        <v>2</v>
      </c>
      <c r="L35" s="79">
        <v>4</v>
      </c>
      <c r="M35" s="79">
        <v>1</v>
      </c>
      <c r="N35" s="82">
        <f>SUM(B35:M35)</f>
        <v>16</v>
      </c>
    </row>
    <row r="36" spans="1:15" x14ac:dyDescent="0.25">
      <c r="B36" s="43" t="s">
        <v>385</v>
      </c>
    </row>
    <row r="37" spans="1:15" x14ac:dyDescent="0.25">
      <c r="B37" s="43" t="s">
        <v>386</v>
      </c>
    </row>
    <row r="38" spans="1:15" x14ac:dyDescent="0.2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</row>
    <row r="39" spans="1:15" x14ac:dyDescent="0.25">
      <c r="A39" s="229" t="s">
        <v>241</v>
      </c>
      <c r="B39" s="229"/>
      <c r="C39" s="229"/>
      <c r="D39" s="229"/>
      <c r="O39" s="76"/>
    </row>
    <row r="40" spans="1:15" x14ac:dyDescent="0.25">
      <c r="A40" s="140" t="s">
        <v>43</v>
      </c>
      <c r="B40" s="141" t="s">
        <v>2</v>
      </c>
      <c r="C40" s="141" t="s">
        <v>3</v>
      </c>
      <c r="D40" s="141" t="s">
        <v>4</v>
      </c>
      <c r="E40" s="141" t="s">
        <v>5</v>
      </c>
      <c r="F40" s="141" t="s">
        <v>6</v>
      </c>
      <c r="G40" s="141" t="s">
        <v>7</v>
      </c>
      <c r="H40" s="141" t="s">
        <v>8</v>
      </c>
      <c r="I40" s="141" t="s">
        <v>9</v>
      </c>
      <c r="J40" s="141" t="s">
        <v>10</v>
      </c>
      <c r="K40" s="141" t="s">
        <v>11</v>
      </c>
      <c r="L40" s="141" t="s">
        <v>12</v>
      </c>
      <c r="M40" s="141" t="s">
        <v>13</v>
      </c>
      <c r="N40" s="142" t="s">
        <v>14</v>
      </c>
    </row>
    <row r="41" spans="1:15" x14ac:dyDescent="0.25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</row>
    <row r="42" spans="1:15" x14ac:dyDescent="0.25">
      <c r="A42" s="142" t="s">
        <v>15</v>
      </c>
      <c r="B42" s="154">
        <f>80-19+3</f>
        <v>64</v>
      </c>
      <c r="C42" s="150">
        <v>66</v>
      </c>
      <c r="D42" s="150">
        <v>70</v>
      </c>
      <c r="E42" s="150">
        <v>70</v>
      </c>
      <c r="F42" s="150">
        <v>70</v>
      </c>
      <c r="G42" s="151">
        <v>70</v>
      </c>
      <c r="H42" s="150">
        <v>71</v>
      </c>
      <c r="I42" s="150">
        <v>73</v>
      </c>
      <c r="J42" s="150">
        <v>75</v>
      </c>
      <c r="K42" s="150">
        <v>76</v>
      </c>
      <c r="L42" s="150">
        <v>77</v>
      </c>
      <c r="M42" s="150">
        <v>82</v>
      </c>
      <c r="N42" s="7">
        <f>SUM(B42:M42)/12</f>
        <v>72</v>
      </c>
    </row>
    <row r="43" spans="1:15" x14ac:dyDescent="0.25">
      <c r="A43" s="142" t="s">
        <v>16</v>
      </c>
      <c r="B43" s="40">
        <f>3-2</f>
        <v>1</v>
      </c>
      <c r="C43" s="40">
        <v>1</v>
      </c>
      <c r="D43" s="40">
        <v>1</v>
      </c>
      <c r="E43" s="40">
        <v>1</v>
      </c>
      <c r="F43" s="40">
        <v>1</v>
      </c>
      <c r="G43" s="40">
        <v>1</v>
      </c>
      <c r="H43" s="40">
        <v>1</v>
      </c>
      <c r="I43" s="40">
        <v>1</v>
      </c>
      <c r="J43" s="40">
        <v>1</v>
      </c>
      <c r="K43" s="40">
        <v>1</v>
      </c>
      <c r="L43" s="40">
        <v>1</v>
      </c>
      <c r="M43" s="40">
        <v>1</v>
      </c>
      <c r="N43" s="9">
        <f>SUM(B43:M43)/12</f>
        <v>1</v>
      </c>
    </row>
    <row r="44" spans="1:15" x14ac:dyDescent="0.25">
      <c r="A44" s="142" t="s">
        <v>17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9">
        <f>SUM(B44:M44)/12</f>
        <v>0</v>
      </c>
    </row>
    <row r="45" spans="1:15" x14ac:dyDescent="0.25">
      <c r="A45" s="142"/>
      <c r="B45" s="10"/>
      <c r="C45" s="10"/>
      <c r="D45" s="10"/>
      <c r="E45" s="10"/>
      <c r="F45" s="10"/>
      <c r="G45" s="10"/>
      <c r="H45" s="8"/>
      <c r="I45" s="10"/>
      <c r="J45" s="10"/>
      <c r="K45" s="10"/>
      <c r="L45" s="10"/>
      <c r="M45" s="10"/>
      <c r="N45" s="11"/>
    </row>
    <row r="46" spans="1:15" x14ac:dyDescent="0.25">
      <c r="A46" s="140" t="s">
        <v>51</v>
      </c>
      <c r="B46" s="3">
        <f>B42+(B44*1.5)+(B43*0.8)</f>
        <v>64.8</v>
      </c>
      <c r="C46" s="3">
        <f>C42+(C44*1.5)+(C43*0.8)</f>
        <v>66.8</v>
      </c>
      <c r="D46" s="3">
        <f>D42+(D44*1.5)+(D43*0.8)</f>
        <v>70.8</v>
      </c>
      <c r="E46" s="3">
        <f>E42+(E44*1.5)+(E43*0.8)</f>
        <v>70.8</v>
      </c>
      <c r="F46" s="3">
        <f>F42+(F44*1.5)+(F43*0.8)</f>
        <v>70.8</v>
      </c>
      <c r="G46" s="3">
        <f t="shared" ref="G46:M46" si="3">G42+(G44*1.5)+(G43*0.8)</f>
        <v>70.8</v>
      </c>
      <c r="H46" s="3">
        <f t="shared" si="3"/>
        <v>71.8</v>
      </c>
      <c r="I46" s="3">
        <f t="shared" si="3"/>
        <v>73.8</v>
      </c>
      <c r="J46" s="3">
        <f t="shared" si="3"/>
        <v>75.8</v>
      </c>
      <c r="K46" s="3">
        <f t="shared" si="3"/>
        <v>76.8</v>
      </c>
      <c r="L46" s="3">
        <f t="shared" si="3"/>
        <v>77.8</v>
      </c>
      <c r="M46" s="3">
        <f t="shared" si="3"/>
        <v>82.8</v>
      </c>
      <c r="N46" s="9">
        <f>SUM(B46:M46)/12</f>
        <v>72.799999999999983</v>
      </c>
    </row>
    <row r="47" spans="1:15" x14ac:dyDescent="0.25">
      <c r="A47" s="81" t="s">
        <v>19</v>
      </c>
      <c r="B47" s="80">
        <v>3</v>
      </c>
      <c r="C47" s="79">
        <v>2</v>
      </c>
      <c r="D47" s="79">
        <v>4</v>
      </c>
      <c r="E47" s="79">
        <v>0</v>
      </c>
      <c r="F47" s="79">
        <v>0</v>
      </c>
      <c r="G47" s="79">
        <v>0</v>
      </c>
      <c r="H47" s="79">
        <v>1</v>
      </c>
      <c r="I47" s="79">
        <v>2</v>
      </c>
      <c r="J47" s="79">
        <v>2</v>
      </c>
      <c r="K47" s="79">
        <v>1</v>
      </c>
      <c r="L47" s="79">
        <v>1</v>
      </c>
      <c r="M47" s="79">
        <v>5</v>
      </c>
      <c r="N47" s="82">
        <f>SUM(B47:M47)</f>
        <v>21</v>
      </c>
    </row>
    <row r="48" spans="1:15" x14ac:dyDescent="0.25">
      <c r="B48" s="43" t="s">
        <v>52</v>
      </c>
    </row>
    <row r="49" spans="1:15" x14ac:dyDescent="0.25">
      <c r="B49" s="43" t="s">
        <v>94</v>
      </c>
    </row>
    <row r="50" spans="1:15" x14ac:dyDescent="0.2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</row>
    <row r="51" spans="1:15" x14ac:dyDescent="0.25">
      <c r="A51" s="189" t="s">
        <v>164</v>
      </c>
      <c r="B51" s="189"/>
      <c r="C51" s="189"/>
      <c r="D51" s="189"/>
    </row>
    <row r="52" spans="1:15" x14ac:dyDescent="0.25">
      <c r="A52" s="140" t="s">
        <v>43</v>
      </c>
      <c r="B52" s="141" t="s">
        <v>2</v>
      </c>
      <c r="C52" s="141" t="s">
        <v>3</v>
      </c>
      <c r="D52" s="141" t="s">
        <v>4</v>
      </c>
      <c r="E52" s="141" t="s">
        <v>5</v>
      </c>
      <c r="F52" s="141" t="s">
        <v>6</v>
      </c>
      <c r="G52" s="141" t="s">
        <v>7</v>
      </c>
      <c r="H52" s="141" t="s">
        <v>8</v>
      </c>
      <c r="I52" s="141" t="s">
        <v>9</v>
      </c>
      <c r="J52" s="141" t="s">
        <v>10</v>
      </c>
      <c r="K52" s="141" t="s">
        <v>11</v>
      </c>
      <c r="L52" s="141" t="s">
        <v>12</v>
      </c>
      <c r="M52" s="141" t="s">
        <v>13</v>
      </c>
      <c r="N52" s="142" t="s">
        <v>14</v>
      </c>
      <c r="O52" s="76"/>
    </row>
    <row r="53" spans="1:15" x14ac:dyDescent="0.25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</row>
    <row r="54" spans="1:15" x14ac:dyDescent="0.25">
      <c r="A54" s="142" t="s">
        <v>15</v>
      </c>
      <c r="B54" s="154">
        <f>80-20+3</f>
        <v>63</v>
      </c>
      <c r="C54" s="150">
        <v>65</v>
      </c>
      <c r="D54" s="150">
        <v>69</v>
      </c>
      <c r="E54" s="150">
        <v>69</v>
      </c>
      <c r="F54" s="150">
        <v>69</v>
      </c>
      <c r="G54" s="151">
        <v>69</v>
      </c>
      <c r="H54" s="150">
        <v>70</v>
      </c>
      <c r="I54" s="150">
        <v>72</v>
      </c>
      <c r="J54" s="150">
        <v>74</v>
      </c>
      <c r="K54" s="150">
        <v>75</v>
      </c>
      <c r="L54" s="150">
        <v>76</v>
      </c>
      <c r="M54" s="150">
        <v>81</v>
      </c>
      <c r="N54" s="7">
        <f>SUM(B54:M54)/12</f>
        <v>71</v>
      </c>
    </row>
    <row r="55" spans="1:15" x14ac:dyDescent="0.25">
      <c r="A55" s="142" t="s">
        <v>16</v>
      </c>
      <c r="B55" s="40">
        <f>3-2</f>
        <v>1</v>
      </c>
      <c r="C55" s="40">
        <v>1</v>
      </c>
      <c r="D55" s="40">
        <v>1</v>
      </c>
      <c r="E55" s="40">
        <v>1</v>
      </c>
      <c r="F55" s="40">
        <v>1</v>
      </c>
      <c r="G55" s="40">
        <v>1</v>
      </c>
      <c r="H55" s="40">
        <v>1</v>
      </c>
      <c r="I55" s="40">
        <v>1</v>
      </c>
      <c r="J55" s="40">
        <v>1</v>
      </c>
      <c r="K55" s="40">
        <v>1</v>
      </c>
      <c r="L55" s="40">
        <v>1</v>
      </c>
      <c r="M55" s="40">
        <v>1</v>
      </c>
      <c r="N55" s="9">
        <f>SUM(B55:M55)/12</f>
        <v>1</v>
      </c>
    </row>
    <row r="56" spans="1:15" x14ac:dyDescent="0.25">
      <c r="A56" s="142" t="s">
        <v>17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9">
        <f>SUM(B56:M56)/12</f>
        <v>0</v>
      </c>
    </row>
    <row r="57" spans="1:15" x14ac:dyDescent="0.25">
      <c r="A57" s="142"/>
      <c r="B57" s="10"/>
      <c r="C57" s="10"/>
      <c r="D57" s="10"/>
      <c r="E57" s="10"/>
      <c r="F57" s="10"/>
      <c r="G57" s="10"/>
      <c r="H57" s="8"/>
      <c r="I57" s="10"/>
      <c r="J57" s="10"/>
      <c r="K57" s="10"/>
      <c r="L57" s="10"/>
      <c r="M57" s="10"/>
      <c r="N57" s="11"/>
    </row>
    <row r="58" spans="1:15" x14ac:dyDescent="0.25">
      <c r="A58" s="140" t="s">
        <v>51</v>
      </c>
      <c r="B58" s="3">
        <f>B54+(B56*1.5)+(B55*0.8)</f>
        <v>63.8</v>
      </c>
      <c r="C58" s="3">
        <f>C54+(C56*1.5)+(C55*0.8)</f>
        <v>65.8</v>
      </c>
      <c r="D58" s="3">
        <f>D54+(D56*1.5)+(D55*0.8)</f>
        <v>69.8</v>
      </c>
      <c r="E58" s="3">
        <f>E54+(E56*1.5)+(E55*0.8)</f>
        <v>69.8</v>
      </c>
      <c r="F58" s="3">
        <f>F54+(F56*1.5)+(F55*0.8)</f>
        <v>69.8</v>
      </c>
      <c r="G58" s="3">
        <f t="shared" ref="G58:M58" si="4">G54+(G56*1.5)+(G55*0.8)</f>
        <v>69.8</v>
      </c>
      <c r="H58" s="3">
        <f t="shared" si="4"/>
        <v>70.8</v>
      </c>
      <c r="I58" s="3">
        <f t="shared" si="4"/>
        <v>72.8</v>
      </c>
      <c r="J58" s="3">
        <f t="shared" si="4"/>
        <v>74.8</v>
      </c>
      <c r="K58" s="3">
        <f t="shared" si="4"/>
        <v>75.8</v>
      </c>
      <c r="L58" s="3">
        <f t="shared" si="4"/>
        <v>76.8</v>
      </c>
      <c r="M58" s="3">
        <f t="shared" si="4"/>
        <v>81.8</v>
      </c>
      <c r="N58" s="9">
        <f>SUM(B58:M58)/12</f>
        <v>71.799999999999983</v>
      </c>
    </row>
    <row r="59" spans="1:15" x14ac:dyDescent="0.25">
      <c r="A59" s="81" t="s">
        <v>19</v>
      </c>
      <c r="B59" s="80">
        <v>3</v>
      </c>
      <c r="C59" s="79">
        <v>2</v>
      </c>
      <c r="D59" s="79">
        <v>4</v>
      </c>
      <c r="E59" s="79">
        <v>0</v>
      </c>
      <c r="F59" s="79">
        <v>0</v>
      </c>
      <c r="G59" s="79">
        <v>0</v>
      </c>
      <c r="H59" s="79">
        <v>1</v>
      </c>
      <c r="I59" s="79">
        <v>2</v>
      </c>
      <c r="J59" s="79">
        <v>2</v>
      </c>
      <c r="K59" s="79">
        <v>1</v>
      </c>
      <c r="L59" s="79">
        <v>1</v>
      </c>
      <c r="M59" s="79">
        <v>5</v>
      </c>
      <c r="N59" s="82">
        <f>SUM(B59:M59)</f>
        <v>21</v>
      </c>
    </row>
    <row r="60" spans="1:15" x14ac:dyDescent="0.25">
      <c r="B60" t="s">
        <v>54</v>
      </c>
      <c r="C60" t="s">
        <v>54</v>
      </c>
      <c r="D60" t="s">
        <v>54</v>
      </c>
      <c r="I60" t="s">
        <v>54</v>
      </c>
      <c r="L60" t="s">
        <v>54</v>
      </c>
      <c r="M60" t="s">
        <v>54</v>
      </c>
    </row>
    <row r="61" spans="1:15" x14ac:dyDescent="0.25">
      <c r="B61" s="43" t="s">
        <v>63</v>
      </c>
    </row>
    <row r="62" spans="1:15" x14ac:dyDescent="0.25">
      <c r="B62" s="43" t="s">
        <v>94</v>
      </c>
    </row>
    <row r="63" spans="1:15" x14ac:dyDescent="0.25">
      <c r="A63" s="76"/>
      <c r="B63" s="218" t="s">
        <v>165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</row>
    <row r="65" spans="1:14" x14ac:dyDescent="0.25">
      <c r="A65" s="189" t="s">
        <v>107</v>
      </c>
      <c r="B65" s="189"/>
      <c r="C65" s="189"/>
      <c r="D65" s="189"/>
    </row>
    <row r="66" spans="1:14" x14ac:dyDescent="0.25">
      <c r="A66" s="140" t="s">
        <v>43</v>
      </c>
      <c r="B66" s="141" t="s">
        <v>2</v>
      </c>
      <c r="C66" s="141" t="s">
        <v>3</v>
      </c>
      <c r="D66" s="141" t="s">
        <v>4</v>
      </c>
      <c r="E66" s="141" t="s">
        <v>5</v>
      </c>
      <c r="F66" s="141" t="s">
        <v>6</v>
      </c>
      <c r="G66" s="141" t="s">
        <v>7</v>
      </c>
      <c r="H66" s="141" t="s">
        <v>8</v>
      </c>
      <c r="I66" s="141" t="s">
        <v>9</v>
      </c>
      <c r="J66" s="141" t="s">
        <v>10</v>
      </c>
      <c r="K66" s="141" t="s">
        <v>11</v>
      </c>
      <c r="L66" s="141" t="s">
        <v>12</v>
      </c>
      <c r="M66" s="141" t="s">
        <v>13</v>
      </c>
      <c r="N66" s="142" t="s">
        <v>14</v>
      </c>
    </row>
    <row r="67" spans="1:14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</row>
    <row r="68" spans="1:14" x14ac:dyDescent="0.25">
      <c r="A68" s="142" t="s">
        <v>15</v>
      </c>
      <c r="B68" s="154">
        <f>78-22+3+2</f>
        <v>61</v>
      </c>
      <c r="C68" s="150">
        <v>63</v>
      </c>
      <c r="D68" s="150">
        <v>67</v>
      </c>
      <c r="E68" s="150">
        <v>67</v>
      </c>
      <c r="F68" s="150">
        <v>67</v>
      </c>
      <c r="G68" s="151">
        <v>67</v>
      </c>
      <c r="H68" s="150">
        <v>68</v>
      </c>
      <c r="I68" s="150">
        <v>70</v>
      </c>
      <c r="J68" s="150">
        <v>72</v>
      </c>
      <c r="K68" s="150">
        <v>73</v>
      </c>
      <c r="L68" s="150">
        <v>74</v>
      </c>
      <c r="M68" s="150">
        <v>79</v>
      </c>
      <c r="N68" s="7">
        <f>SUM(B68:M68)/12</f>
        <v>69</v>
      </c>
    </row>
    <row r="69" spans="1:14" x14ac:dyDescent="0.25">
      <c r="A69" s="142" t="s">
        <v>16</v>
      </c>
      <c r="B69" s="40">
        <f>3-2</f>
        <v>1</v>
      </c>
      <c r="C69" s="40">
        <v>1</v>
      </c>
      <c r="D69" s="40">
        <v>1</v>
      </c>
      <c r="E69" s="40">
        <v>1</v>
      </c>
      <c r="F69" s="40">
        <v>1</v>
      </c>
      <c r="G69" s="40">
        <v>1</v>
      </c>
      <c r="H69" s="40">
        <v>1</v>
      </c>
      <c r="I69" s="40">
        <v>1</v>
      </c>
      <c r="J69" s="40">
        <v>1</v>
      </c>
      <c r="K69" s="40">
        <v>1</v>
      </c>
      <c r="L69" s="40">
        <v>1</v>
      </c>
      <c r="M69" s="40">
        <v>1</v>
      </c>
      <c r="N69" s="9">
        <f>SUM(B69:M69)/12</f>
        <v>1</v>
      </c>
    </row>
    <row r="70" spans="1:14" x14ac:dyDescent="0.25">
      <c r="A70" s="142" t="s">
        <v>17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9">
        <f>SUM(B70:M70)/12</f>
        <v>0</v>
      </c>
    </row>
    <row r="71" spans="1:14" x14ac:dyDescent="0.25">
      <c r="A71" s="142"/>
      <c r="B71" s="10"/>
      <c r="C71" s="10"/>
      <c r="D71" s="10"/>
      <c r="E71" s="10"/>
      <c r="F71" s="10"/>
      <c r="G71" s="10"/>
      <c r="H71" s="8"/>
      <c r="I71" s="10"/>
      <c r="J71" s="10"/>
      <c r="K71" s="10"/>
      <c r="L71" s="10"/>
      <c r="M71" s="10"/>
      <c r="N71" s="11"/>
    </row>
    <row r="72" spans="1:14" x14ac:dyDescent="0.25">
      <c r="A72" s="140" t="s">
        <v>51</v>
      </c>
      <c r="B72" s="3">
        <f>B68+(B70*1.5)+(B69*0.8)</f>
        <v>61.8</v>
      </c>
      <c r="C72" s="3">
        <f>C68+(C70*1.5)+(C69*0.8)</f>
        <v>63.8</v>
      </c>
      <c r="D72" s="3">
        <f>D68+(D70*1.5)+(D69*0.8)</f>
        <v>67.8</v>
      </c>
      <c r="E72" s="3">
        <f>E68+(E70*1.5)+(E69*0.8)</f>
        <v>67.8</v>
      </c>
      <c r="F72" s="3">
        <f>F68+(F70*1.5)+(F69*0.8)</f>
        <v>67.8</v>
      </c>
      <c r="G72" s="3">
        <f t="shared" ref="G72:M72" si="5">G68+(G70*1.5)+(G69*0.8)</f>
        <v>67.8</v>
      </c>
      <c r="H72" s="3">
        <f t="shared" si="5"/>
        <v>68.8</v>
      </c>
      <c r="I72" s="3">
        <f t="shared" si="5"/>
        <v>70.8</v>
      </c>
      <c r="J72" s="3">
        <f t="shared" si="5"/>
        <v>72.8</v>
      </c>
      <c r="K72" s="3">
        <f t="shared" si="5"/>
        <v>73.8</v>
      </c>
      <c r="L72" s="3">
        <f t="shared" si="5"/>
        <v>74.8</v>
      </c>
      <c r="M72" s="3">
        <f t="shared" si="5"/>
        <v>79.8</v>
      </c>
      <c r="N72" s="9">
        <f>SUM(B72:M72)/12</f>
        <v>69.799999999999983</v>
      </c>
    </row>
    <row r="73" spans="1:14" x14ac:dyDescent="0.25">
      <c r="A73" s="81" t="s">
        <v>19</v>
      </c>
      <c r="B73" s="80">
        <v>3</v>
      </c>
      <c r="C73" s="79">
        <v>2</v>
      </c>
      <c r="D73" s="79">
        <v>4</v>
      </c>
      <c r="E73" s="79">
        <v>0</v>
      </c>
      <c r="F73" s="79">
        <v>0</v>
      </c>
      <c r="G73" s="79">
        <v>0</v>
      </c>
      <c r="H73" s="79">
        <v>1</v>
      </c>
      <c r="I73" s="79">
        <v>2</v>
      </c>
      <c r="J73" s="79">
        <v>2</v>
      </c>
      <c r="K73" s="79">
        <v>1</v>
      </c>
      <c r="L73" s="79">
        <v>1</v>
      </c>
      <c r="M73" s="79">
        <v>5</v>
      </c>
      <c r="N73" s="82">
        <f>SUM(B73:M73)</f>
        <v>21</v>
      </c>
    </row>
    <row r="74" spans="1:14" x14ac:dyDescent="0.25">
      <c r="B74" t="s">
        <v>54</v>
      </c>
      <c r="C74" t="s">
        <v>54</v>
      </c>
      <c r="D74" t="s">
        <v>54</v>
      </c>
      <c r="I74" t="s">
        <v>54</v>
      </c>
      <c r="L74" t="s">
        <v>54</v>
      </c>
      <c r="M74" t="s">
        <v>54</v>
      </c>
    </row>
    <row r="75" spans="1:14" x14ac:dyDescent="0.25">
      <c r="B75" s="43" t="s">
        <v>93</v>
      </c>
    </row>
    <row r="76" spans="1:14" x14ac:dyDescent="0.25">
      <c r="B76" s="43" t="s">
        <v>94</v>
      </c>
    </row>
    <row r="77" spans="1:14" x14ac:dyDescent="0.25">
      <c r="B77" s="183" t="s">
        <v>118</v>
      </c>
    </row>
    <row r="78" spans="1:14" x14ac:dyDescent="0.25">
      <c r="A78" s="189" t="s">
        <v>114</v>
      </c>
      <c r="B78" s="189"/>
      <c r="C78" s="189"/>
      <c r="D78" s="189"/>
      <c r="E78" s="189"/>
      <c r="F78" s="189" t="s">
        <v>51</v>
      </c>
    </row>
    <row r="80" spans="1:14" x14ac:dyDescent="0.25">
      <c r="A80" s="140" t="s">
        <v>43</v>
      </c>
      <c r="B80" s="141" t="s">
        <v>2</v>
      </c>
      <c r="C80" s="141" t="s">
        <v>3</v>
      </c>
      <c r="D80" s="141" t="s">
        <v>4</v>
      </c>
      <c r="E80" s="141" t="s">
        <v>5</v>
      </c>
      <c r="F80" s="141" t="s">
        <v>6</v>
      </c>
      <c r="G80" s="141" t="s">
        <v>7</v>
      </c>
      <c r="H80" s="141" t="s">
        <v>8</v>
      </c>
      <c r="I80" s="141" t="s">
        <v>9</v>
      </c>
      <c r="J80" s="141" t="s">
        <v>10</v>
      </c>
      <c r="K80" s="141" t="s">
        <v>11</v>
      </c>
      <c r="L80" s="141" t="s">
        <v>12</v>
      </c>
      <c r="M80" s="141" t="s">
        <v>13</v>
      </c>
      <c r="N80" s="142" t="s">
        <v>14</v>
      </c>
    </row>
    <row r="81" spans="1:16" x14ac:dyDescent="0.2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</row>
    <row r="82" spans="1:16" x14ac:dyDescent="0.25">
      <c r="A82" s="142" t="s">
        <v>15</v>
      </c>
      <c r="B82" s="154">
        <f>78-22+2+1</f>
        <v>59</v>
      </c>
      <c r="C82" s="150">
        <v>60</v>
      </c>
      <c r="D82" s="150">
        <v>61</v>
      </c>
      <c r="E82" s="150">
        <v>61</v>
      </c>
      <c r="F82" s="150">
        <v>61</v>
      </c>
      <c r="G82" s="151">
        <v>61</v>
      </c>
      <c r="H82" s="150">
        <v>61</v>
      </c>
      <c r="I82" s="150">
        <v>62</v>
      </c>
      <c r="J82" s="150">
        <v>62</v>
      </c>
      <c r="K82" s="150">
        <v>62</v>
      </c>
      <c r="L82" s="150">
        <v>63</v>
      </c>
      <c r="M82" s="150">
        <v>64</v>
      </c>
      <c r="N82" s="7">
        <f>SUM(B82:M82)/12</f>
        <v>61.416666666666664</v>
      </c>
    </row>
    <row r="83" spans="1:16" x14ac:dyDescent="0.25">
      <c r="A83" s="142" t="s">
        <v>16</v>
      </c>
      <c r="B83" s="40">
        <f>3-2</f>
        <v>1</v>
      </c>
      <c r="C83" s="40">
        <v>1</v>
      </c>
      <c r="D83" s="40">
        <v>1</v>
      </c>
      <c r="E83" s="40">
        <v>1</v>
      </c>
      <c r="F83" s="40">
        <v>1</v>
      </c>
      <c r="G83" s="40">
        <v>1</v>
      </c>
      <c r="H83" s="40">
        <v>1</v>
      </c>
      <c r="I83" s="40">
        <v>1</v>
      </c>
      <c r="J83" s="40">
        <v>1</v>
      </c>
      <c r="K83" s="40">
        <v>1</v>
      </c>
      <c r="L83" s="40">
        <v>1</v>
      </c>
      <c r="M83" s="40">
        <v>1</v>
      </c>
      <c r="N83" s="9">
        <f>SUM(B83:M83)/12</f>
        <v>1</v>
      </c>
    </row>
    <row r="84" spans="1:16" x14ac:dyDescent="0.25">
      <c r="A84" s="142" t="s">
        <v>17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9">
        <f>SUM(B84:M84)/12</f>
        <v>0</v>
      </c>
    </row>
    <row r="85" spans="1:16" x14ac:dyDescent="0.25">
      <c r="A85" s="142"/>
      <c r="B85" s="10"/>
      <c r="C85" s="10"/>
      <c r="D85" s="10"/>
      <c r="E85" s="10"/>
      <c r="F85" s="10"/>
      <c r="G85" s="10"/>
      <c r="H85" s="8"/>
      <c r="I85" s="10"/>
      <c r="J85" s="10"/>
      <c r="K85" s="10"/>
      <c r="L85" s="10"/>
      <c r="M85" s="10"/>
      <c r="N85" s="11"/>
      <c r="O85" s="77"/>
    </row>
    <row r="86" spans="1:16" x14ac:dyDescent="0.25">
      <c r="A86" s="140" t="s">
        <v>51</v>
      </c>
      <c r="B86" s="3">
        <f>B82+(B84*1.5)+(B83*0.8)</f>
        <v>59.8</v>
      </c>
      <c r="C86" s="3">
        <f>C82+(C84*1.5)+(C83*0.8)</f>
        <v>60.8</v>
      </c>
      <c r="D86" s="3">
        <f>D82+(D84*1.5)+(D83*0.8)</f>
        <v>61.8</v>
      </c>
      <c r="E86" s="3">
        <f>E82+(E84*1.5)+(E83*0.8)</f>
        <v>61.8</v>
      </c>
      <c r="F86" s="3">
        <f>F82+(F84*1.5)+(F83*0.8)</f>
        <v>61.8</v>
      </c>
      <c r="G86" s="3">
        <f t="shared" ref="G86:M86" si="6">G82+(G84*1.5)+(G83*0.8)</f>
        <v>61.8</v>
      </c>
      <c r="H86" s="3">
        <f t="shared" si="6"/>
        <v>61.8</v>
      </c>
      <c r="I86" s="3">
        <f t="shared" si="6"/>
        <v>62.8</v>
      </c>
      <c r="J86" s="3">
        <f t="shared" si="6"/>
        <v>62.8</v>
      </c>
      <c r="K86" s="3">
        <f t="shared" si="6"/>
        <v>62.8</v>
      </c>
      <c r="L86" s="3">
        <f t="shared" si="6"/>
        <v>63.8</v>
      </c>
      <c r="M86" s="3">
        <f t="shared" si="6"/>
        <v>64.8</v>
      </c>
      <c r="N86" s="9">
        <f>SUM(B86:M86)/12</f>
        <v>62.216666666666661</v>
      </c>
      <c r="O86" s="77"/>
    </row>
    <row r="87" spans="1:16" x14ac:dyDescent="0.25">
      <c r="A87" s="81" t="s">
        <v>19</v>
      </c>
      <c r="B87" s="80">
        <v>3</v>
      </c>
      <c r="C87" s="79">
        <v>1</v>
      </c>
      <c r="D87" s="79">
        <v>1</v>
      </c>
      <c r="E87" s="79">
        <v>0</v>
      </c>
      <c r="F87" s="79">
        <v>0</v>
      </c>
      <c r="G87" s="79">
        <v>0</v>
      </c>
      <c r="H87" s="79">
        <v>0</v>
      </c>
      <c r="I87" s="79">
        <v>1</v>
      </c>
      <c r="J87" s="79">
        <v>0</v>
      </c>
      <c r="K87" s="79">
        <v>0</v>
      </c>
      <c r="L87" s="79">
        <v>1</v>
      </c>
      <c r="M87" s="79">
        <v>1</v>
      </c>
      <c r="N87" s="82">
        <f>SUM(B87:M87)</f>
        <v>8</v>
      </c>
      <c r="O87" s="77"/>
    </row>
    <row r="88" spans="1:16" x14ac:dyDescent="0.25">
      <c r="B88" t="s">
        <v>54</v>
      </c>
      <c r="C88" t="s">
        <v>54</v>
      </c>
      <c r="D88" t="s">
        <v>54</v>
      </c>
      <c r="I88" t="s">
        <v>54</v>
      </c>
      <c r="L88" t="s">
        <v>54</v>
      </c>
      <c r="M88" t="s">
        <v>54</v>
      </c>
      <c r="O88" s="77"/>
    </row>
    <row r="89" spans="1:16" x14ac:dyDescent="0.25">
      <c r="O89" s="77"/>
    </row>
    <row r="90" spans="1:16" x14ac:dyDescent="0.25">
      <c r="A90" s="155" t="s">
        <v>120</v>
      </c>
      <c r="B90" s="180">
        <v>2</v>
      </c>
      <c r="C90" s="180">
        <v>1</v>
      </c>
      <c r="D90" s="180">
        <v>3</v>
      </c>
      <c r="E90" s="180">
        <v>0</v>
      </c>
      <c r="F90" s="180">
        <v>0</v>
      </c>
      <c r="G90" s="184">
        <v>0</v>
      </c>
      <c r="H90" s="184">
        <v>1</v>
      </c>
      <c r="I90" s="184">
        <v>1</v>
      </c>
      <c r="J90" s="184">
        <v>2</v>
      </c>
      <c r="K90" s="184">
        <v>1</v>
      </c>
      <c r="L90" s="184">
        <v>0</v>
      </c>
      <c r="M90" s="184">
        <v>4</v>
      </c>
      <c r="N90">
        <f>SUM(B90:M90)</f>
        <v>15</v>
      </c>
      <c r="O90" s="77"/>
    </row>
    <row r="91" spans="1:16" x14ac:dyDescent="0.25">
      <c r="O91" s="78"/>
    </row>
    <row r="92" spans="1:16" x14ac:dyDescent="0.25">
      <c r="B92" s="43" t="s">
        <v>93</v>
      </c>
      <c r="O92" s="77"/>
    </row>
    <row r="93" spans="1:16" x14ac:dyDescent="0.25">
      <c r="B93" s="43" t="s">
        <v>94</v>
      </c>
      <c r="O93" s="77"/>
    </row>
    <row r="94" spans="1:16" x14ac:dyDescent="0.25">
      <c r="B94" s="43" t="s">
        <v>118</v>
      </c>
      <c r="O94" s="77"/>
    </row>
    <row r="95" spans="1:16" x14ac:dyDescent="0.25">
      <c r="O95" s="166"/>
      <c r="P95" s="23"/>
    </row>
    <row r="96" spans="1:16" x14ac:dyDescent="0.25">
      <c r="A96" s="160" t="s">
        <v>95</v>
      </c>
      <c r="B96" s="161"/>
      <c r="C96" s="161"/>
      <c r="D96" s="161"/>
      <c r="E96" s="161"/>
      <c r="F96" s="161"/>
      <c r="G96" s="161"/>
      <c r="M96" s="77"/>
      <c r="N96" s="77"/>
    </row>
    <row r="97" spans="1:23" x14ac:dyDescent="0.25">
      <c r="A97" s="157" t="s">
        <v>43</v>
      </c>
      <c r="B97" s="158" t="s">
        <v>2</v>
      </c>
      <c r="C97" s="158" t="s">
        <v>3</v>
      </c>
      <c r="D97" s="158" t="s">
        <v>4</v>
      </c>
      <c r="E97" s="141" t="s">
        <v>5</v>
      </c>
      <c r="F97" s="141" t="s">
        <v>6</v>
      </c>
      <c r="G97" s="141" t="s">
        <v>7</v>
      </c>
      <c r="H97" s="141" t="s">
        <v>8</v>
      </c>
      <c r="I97" s="141" t="s">
        <v>9</v>
      </c>
      <c r="J97" s="141" t="s">
        <v>10</v>
      </c>
      <c r="K97" s="141" t="s">
        <v>11</v>
      </c>
      <c r="L97" s="141" t="s">
        <v>12</v>
      </c>
      <c r="M97" s="141" t="s">
        <v>13</v>
      </c>
      <c r="N97" s="142" t="s">
        <v>14</v>
      </c>
      <c r="O97" s="23"/>
    </row>
    <row r="98" spans="1:23" x14ac:dyDescent="0.25">
      <c r="A98" s="159"/>
      <c r="B98" s="159"/>
      <c r="C98" s="159"/>
      <c r="D98" s="159"/>
      <c r="E98" s="142"/>
      <c r="F98" s="142"/>
      <c r="G98" s="142"/>
      <c r="H98" s="142"/>
      <c r="I98" s="142"/>
      <c r="J98" s="142"/>
      <c r="K98" s="142"/>
      <c r="L98" s="142"/>
      <c r="M98" s="142"/>
      <c r="N98" s="142"/>
    </row>
    <row r="99" spans="1:23" x14ac:dyDescent="0.25">
      <c r="A99" s="159" t="s">
        <v>15</v>
      </c>
      <c r="B99" s="153">
        <f>53+5+0.5</f>
        <v>58.5</v>
      </c>
      <c r="C99" s="37">
        <v>64</v>
      </c>
      <c r="D99" s="37">
        <f>64+2+0.25</f>
        <v>66.25</v>
      </c>
      <c r="E99" s="37">
        <f>67+4+0.5</f>
        <v>71.5</v>
      </c>
      <c r="F99" s="37">
        <v>73.75</v>
      </c>
      <c r="G99" s="38">
        <f>74+1-0.5</f>
        <v>74.5</v>
      </c>
      <c r="H99" s="37">
        <f>74+1</f>
        <v>75</v>
      </c>
      <c r="I99" s="37">
        <v>76</v>
      </c>
      <c r="J99" s="37">
        <v>76</v>
      </c>
      <c r="K99" s="37">
        <v>77</v>
      </c>
      <c r="L99" s="37">
        <v>78</v>
      </c>
      <c r="M99" s="3">
        <v>78</v>
      </c>
      <c r="N99" s="7">
        <f>SUM(B99:M99)/12</f>
        <v>72.375</v>
      </c>
      <c r="O99" s="62"/>
    </row>
    <row r="100" spans="1:23" x14ac:dyDescent="0.25">
      <c r="A100" s="159" t="s">
        <v>16</v>
      </c>
      <c r="B100" s="39">
        <v>5</v>
      </c>
      <c r="C100" s="39">
        <v>5</v>
      </c>
      <c r="D100" s="39">
        <f>5-0.5</f>
        <v>4.5</v>
      </c>
      <c r="E100" s="39">
        <v>4</v>
      </c>
      <c r="F100" s="39">
        <v>3.25</v>
      </c>
      <c r="G100" s="39">
        <v>3</v>
      </c>
      <c r="H100" s="39">
        <v>3</v>
      </c>
      <c r="I100" s="39">
        <v>3</v>
      </c>
      <c r="J100" s="39">
        <v>3</v>
      </c>
      <c r="K100" s="39">
        <v>3</v>
      </c>
      <c r="L100" s="39">
        <v>3</v>
      </c>
      <c r="M100" s="8">
        <v>3</v>
      </c>
      <c r="N100" s="9">
        <f>SUM(B100:M100)/12</f>
        <v>3.5625</v>
      </c>
      <c r="O100" s="62"/>
    </row>
    <row r="101" spans="1:23" x14ac:dyDescent="0.25">
      <c r="A101" s="159" t="s">
        <v>17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10"/>
      <c r="N101" s="9">
        <f>SUM(B101:M101)/12</f>
        <v>0</v>
      </c>
      <c r="O101" s="62"/>
      <c r="P101" s="199" t="s">
        <v>102</v>
      </c>
      <c r="Q101" s="188"/>
      <c r="R101" s="188"/>
      <c r="S101" s="188"/>
    </row>
    <row r="102" spans="1:23" x14ac:dyDescent="0.25">
      <c r="A102" s="142"/>
      <c r="B102" s="10"/>
      <c r="C102" s="10"/>
      <c r="D102" s="10"/>
      <c r="E102" s="10"/>
      <c r="F102" s="10"/>
      <c r="G102" s="10"/>
      <c r="H102" s="8"/>
      <c r="I102" s="10"/>
      <c r="J102" s="10"/>
      <c r="K102" s="10"/>
      <c r="L102" s="10"/>
      <c r="M102" s="10"/>
      <c r="N102" s="11"/>
      <c r="O102" s="62"/>
      <c r="P102" s="188" t="s">
        <v>103</v>
      </c>
      <c r="Q102" s="188"/>
      <c r="R102" s="188"/>
      <c r="S102" s="188"/>
    </row>
    <row r="103" spans="1:23" x14ac:dyDescent="0.25">
      <c r="A103" s="140" t="s">
        <v>18</v>
      </c>
      <c r="B103" s="3">
        <f>B99+(B101*1.5)+(B100*0.8)</f>
        <v>62.5</v>
      </c>
      <c r="C103" s="3">
        <f>C99+(C101*1.5)+(C100*0.8)</f>
        <v>68</v>
      </c>
      <c r="D103" s="3">
        <f>D99+(D101*1.5)+(D100*0.8)</f>
        <v>69.849999999999994</v>
      </c>
      <c r="E103" s="3">
        <f>E99+(E101*1.5)+(E100*0.8)</f>
        <v>74.7</v>
      </c>
      <c r="F103" s="3">
        <f>F99+(F101*1.5)+(F100*0.8)</f>
        <v>76.349999999999994</v>
      </c>
      <c r="G103" s="3">
        <f t="shared" ref="G103:M103" si="7">G99+(G101*1.5)+(G100*0.8)</f>
        <v>76.900000000000006</v>
      </c>
      <c r="H103" s="3">
        <f t="shared" si="7"/>
        <v>77.400000000000006</v>
      </c>
      <c r="I103" s="3">
        <f t="shared" si="7"/>
        <v>78.400000000000006</v>
      </c>
      <c r="J103" s="3">
        <f t="shared" si="7"/>
        <v>78.400000000000006</v>
      </c>
      <c r="K103" s="3">
        <f t="shared" si="7"/>
        <v>79.400000000000006</v>
      </c>
      <c r="L103" s="3">
        <f t="shared" si="7"/>
        <v>80.400000000000006</v>
      </c>
      <c r="M103" s="3">
        <f t="shared" si="7"/>
        <v>80.400000000000006</v>
      </c>
      <c r="N103" s="9">
        <f>SUM(B103:M103)/12</f>
        <v>75.22499999999998</v>
      </c>
      <c r="O103" s="62"/>
      <c r="P103" s="188" t="s">
        <v>104</v>
      </c>
      <c r="Q103" s="188"/>
      <c r="R103" s="188"/>
      <c r="S103" s="188"/>
    </row>
    <row r="104" spans="1:23" x14ac:dyDescent="0.25">
      <c r="A104" s="81" t="s">
        <v>19</v>
      </c>
      <c r="B104" s="80">
        <v>6</v>
      </c>
      <c r="C104" s="79">
        <v>5</v>
      </c>
      <c r="D104" s="79">
        <v>3</v>
      </c>
      <c r="E104" s="79">
        <v>5</v>
      </c>
      <c r="F104" s="79">
        <v>1</v>
      </c>
      <c r="G104" s="79">
        <v>1</v>
      </c>
      <c r="H104" s="79">
        <v>1</v>
      </c>
      <c r="I104" s="79">
        <v>1</v>
      </c>
      <c r="J104" s="79">
        <v>0</v>
      </c>
      <c r="K104" s="79">
        <v>1</v>
      </c>
      <c r="L104" s="79">
        <v>1</v>
      </c>
      <c r="M104" s="79">
        <v>0</v>
      </c>
      <c r="N104" s="82">
        <v>7</v>
      </c>
      <c r="O104" s="62"/>
    </row>
    <row r="105" spans="1:23" x14ac:dyDescent="0.25">
      <c r="A105" s="75"/>
      <c r="B105" s="80" t="s">
        <v>45</v>
      </c>
      <c r="C105" s="79"/>
      <c r="D105" s="84" t="s">
        <v>47</v>
      </c>
      <c r="E105" s="79" t="s">
        <v>48</v>
      </c>
      <c r="F105" s="79"/>
      <c r="G105" s="79"/>
      <c r="H105" s="79" t="s">
        <v>49</v>
      </c>
      <c r="I105" s="79" t="s">
        <v>49</v>
      </c>
      <c r="J105" s="79"/>
      <c r="K105" s="79" t="s">
        <v>49</v>
      </c>
      <c r="L105" s="79" t="s">
        <v>49</v>
      </c>
      <c r="M105" s="79"/>
      <c r="N105" s="74"/>
      <c r="O105" s="63"/>
      <c r="P105" t="s">
        <v>160</v>
      </c>
    </row>
    <row r="106" spans="1:23" x14ac:dyDescent="0.25">
      <c r="A106" s="75"/>
      <c r="B106" s="80"/>
      <c r="C106" s="79"/>
      <c r="D106" s="79" t="s">
        <v>46</v>
      </c>
      <c r="E106" s="79"/>
      <c r="F106" s="79" t="s">
        <v>116</v>
      </c>
      <c r="G106" s="79"/>
      <c r="H106" s="79"/>
      <c r="I106" s="79"/>
      <c r="J106" s="79"/>
      <c r="K106" s="79"/>
      <c r="L106" s="79"/>
      <c r="M106" s="79"/>
      <c r="N106" s="74"/>
      <c r="O106" s="62"/>
      <c r="P106" t="s">
        <v>161</v>
      </c>
    </row>
    <row r="107" spans="1:23" x14ac:dyDescent="0.25">
      <c r="E107" s="149" t="s">
        <v>100</v>
      </c>
      <c r="F107" s="85"/>
      <c r="G107" s="85">
        <v>1</v>
      </c>
      <c r="H107" s="85"/>
      <c r="I107" s="85"/>
      <c r="J107" s="85">
        <v>1</v>
      </c>
      <c r="K107" s="85"/>
      <c r="L107" s="85"/>
      <c r="M107" s="85">
        <v>1</v>
      </c>
      <c r="N107" s="85"/>
      <c r="O107" s="62"/>
      <c r="P107" t="s">
        <v>162</v>
      </c>
    </row>
    <row r="108" spans="1:23" x14ac:dyDescent="0.25">
      <c r="E108" s="156"/>
      <c r="F108" s="23"/>
      <c r="G108" s="182" t="s">
        <v>117</v>
      </c>
      <c r="H108" s="23"/>
      <c r="I108" s="23"/>
      <c r="J108" s="23"/>
      <c r="K108" s="23"/>
      <c r="L108" s="23"/>
      <c r="M108" s="23"/>
      <c r="N108" s="23"/>
      <c r="O108" s="77"/>
    </row>
    <row r="109" spans="1:23" x14ac:dyDescent="0.25">
      <c r="Q109" s="23"/>
    </row>
    <row r="110" spans="1:23" x14ac:dyDescent="0.25">
      <c r="A110" s="35" t="s">
        <v>39</v>
      </c>
      <c r="B110" s="72"/>
      <c r="C110" s="72"/>
      <c r="D110" s="72"/>
      <c r="E110" s="72"/>
      <c r="F110" s="72"/>
      <c r="G110" s="72"/>
      <c r="H110" s="72"/>
      <c r="I110" s="62"/>
      <c r="J110" s="62"/>
      <c r="K110" s="62"/>
      <c r="L110" s="62"/>
      <c r="M110" s="62"/>
      <c r="N110" s="62"/>
      <c r="O110" s="23"/>
      <c r="P110" s="23"/>
      <c r="Q110" s="23"/>
      <c r="R110" s="23"/>
      <c r="S110" s="23"/>
      <c r="T110" s="23"/>
      <c r="U110" s="23"/>
      <c r="V110" s="23"/>
      <c r="W110" s="23"/>
    </row>
    <row r="111" spans="1:23" x14ac:dyDescent="0.25">
      <c r="A111" s="69" t="s">
        <v>43</v>
      </c>
      <c r="B111" s="70" t="s">
        <v>2</v>
      </c>
      <c r="C111" s="70" t="s">
        <v>3</v>
      </c>
      <c r="D111" s="70" t="s">
        <v>4</v>
      </c>
      <c r="E111" s="70" t="s">
        <v>5</v>
      </c>
      <c r="F111" s="70" t="s">
        <v>6</v>
      </c>
      <c r="G111" s="70" t="s">
        <v>7</v>
      </c>
      <c r="H111" s="70" t="s">
        <v>8</v>
      </c>
      <c r="I111" s="70" t="s">
        <v>9</v>
      </c>
      <c r="J111" s="70" t="s">
        <v>10</v>
      </c>
      <c r="K111" s="70" t="s">
        <v>11</v>
      </c>
      <c r="L111" s="70" t="s">
        <v>12</v>
      </c>
      <c r="M111" s="70" t="s">
        <v>13</v>
      </c>
      <c r="N111" s="71" t="s">
        <v>14</v>
      </c>
    </row>
    <row r="112" spans="1:23" x14ac:dyDescent="0.25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</row>
    <row r="113" spans="1:14" x14ac:dyDescent="0.25">
      <c r="A113" s="71" t="s">
        <v>15</v>
      </c>
      <c r="B113" s="28">
        <f>53+5+0.5</f>
        <v>58.5</v>
      </c>
      <c r="C113" s="54">
        <v>64</v>
      </c>
      <c r="D113" s="54">
        <f>64+2+0.25</f>
        <v>66.25</v>
      </c>
      <c r="E113" s="54">
        <f>67+4+0.5</f>
        <v>71.5</v>
      </c>
      <c r="F113" s="54">
        <f>73+0.75</f>
        <v>73.75</v>
      </c>
      <c r="G113" s="215">
        <f>74+1+0.5-0.5</f>
        <v>75</v>
      </c>
      <c r="H113" s="54">
        <f>75+2-0.5-0.5</f>
        <v>76</v>
      </c>
      <c r="I113" s="54">
        <f>75+1</f>
        <v>76</v>
      </c>
      <c r="J113" s="54">
        <f>76+1-1</f>
        <v>76</v>
      </c>
      <c r="K113" s="54">
        <v>77</v>
      </c>
      <c r="L113" s="37">
        <f>77+3-0.5</f>
        <v>79.5</v>
      </c>
      <c r="M113" s="3">
        <f>79-1+1</f>
        <v>79</v>
      </c>
      <c r="N113" s="7">
        <f>SUM(B113:M113)/12</f>
        <v>72.708333333333329</v>
      </c>
    </row>
    <row r="114" spans="1:14" x14ac:dyDescent="0.25">
      <c r="A114" s="71" t="s">
        <v>16</v>
      </c>
      <c r="B114" s="29">
        <v>5</v>
      </c>
      <c r="C114" s="29">
        <v>5</v>
      </c>
      <c r="D114" s="29">
        <f>5-0.5</f>
        <v>4.5</v>
      </c>
      <c r="E114" s="29">
        <v>4</v>
      </c>
      <c r="F114" s="29">
        <f>4-0.75</f>
        <v>3.25</v>
      </c>
      <c r="G114" s="29">
        <v>3</v>
      </c>
      <c r="H114" s="29">
        <v>3</v>
      </c>
      <c r="I114" s="29">
        <v>3</v>
      </c>
      <c r="J114" s="29">
        <v>3</v>
      </c>
      <c r="K114" s="29">
        <v>3</v>
      </c>
      <c r="L114" s="39">
        <v>3</v>
      </c>
      <c r="M114" s="8">
        <v>3</v>
      </c>
      <c r="N114" s="9">
        <f>SUM(B114:M114)/12</f>
        <v>3.5625</v>
      </c>
    </row>
    <row r="115" spans="1:14" x14ac:dyDescent="0.25">
      <c r="A115" s="71" t="s">
        <v>17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40"/>
      <c r="M115" s="10"/>
      <c r="N115" s="9">
        <f>SUM(B115:M115)/12</f>
        <v>0</v>
      </c>
    </row>
    <row r="116" spans="1:14" x14ac:dyDescent="0.25">
      <c r="A116" s="71"/>
      <c r="B116" s="10"/>
      <c r="C116" s="10"/>
      <c r="D116" s="10"/>
      <c r="E116" s="10"/>
      <c r="F116" s="10"/>
      <c r="G116" s="10"/>
      <c r="H116" s="8"/>
      <c r="I116" s="10"/>
      <c r="J116" s="10"/>
      <c r="K116" s="10"/>
      <c r="L116" s="10"/>
      <c r="M116" s="10"/>
      <c r="N116" s="11"/>
    </row>
    <row r="117" spans="1:14" x14ac:dyDescent="0.25">
      <c r="A117" s="69" t="s">
        <v>18</v>
      </c>
      <c r="B117" s="3">
        <f>B113+(B115*1.5)+(B114*0.8)</f>
        <v>62.5</v>
      </c>
      <c r="C117" s="3">
        <f>C113+(C115*1.5)+(C114*0.8)</f>
        <v>68</v>
      </c>
      <c r="D117" s="3">
        <f>D113+(D115*1.5)+(D114*0.8)</f>
        <v>69.849999999999994</v>
      </c>
      <c r="E117" s="3">
        <f>E113+(E115*1.5)+(E114*0.8)</f>
        <v>74.7</v>
      </c>
      <c r="F117" s="3">
        <f>F113+(F115*1.5)+(F114*0.8)</f>
        <v>76.349999999999994</v>
      </c>
      <c r="G117" s="3">
        <f t="shared" ref="G117:M117" si="8">G113+(G115*1.5)+(G114*0.8)</f>
        <v>77.400000000000006</v>
      </c>
      <c r="H117" s="3">
        <f t="shared" si="8"/>
        <v>78.400000000000006</v>
      </c>
      <c r="I117" s="3">
        <f t="shared" si="8"/>
        <v>78.400000000000006</v>
      </c>
      <c r="J117" s="3">
        <f t="shared" si="8"/>
        <v>78.400000000000006</v>
      </c>
      <c r="K117" s="3">
        <f t="shared" si="8"/>
        <v>79.400000000000006</v>
      </c>
      <c r="L117" s="3">
        <f t="shared" si="8"/>
        <v>81.900000000000006</v>
      </c>
      <c r="M117" s="3">
        <f t="shared" si="8"/>
        <v>81.400000000000006</v>
      </c>
      <c r="N117" s="9">
        <f>SUM(B117:M117)/12</f>
        <v>75.558333333333323</v>
      </c>
    </row>
    <row r="118" spans="1:14" x14ac:dyDescent="0.25">
      <c r="A118" s="67" t="s">
        <v>19</v>
      </c>
      <c r="B118" s="80">
        <v>6</v>
      </c>
      <c r="C118" s="79">
        <v>5</v>
      </c>
      <c r="D118" s="79">
        <v>3</v>
      </c>
      <c r="E118" s="79">
        <v>5</v>
      </c>
      <c r="F118" s="79">
        <v>1</v>
      </c>
      <c r="G118" s="79">
        <v>2</v>
      </c>
      <c r="H118" s="79">
        <v>2</v>
      </c>
      <c r="I118" s="79">
        <v>1</v>
      </c>
      <c r="J118" s="79">
        <v>1</v>
      </c>
      <c r="K118" s="79">
        <v>1</v>
      </c>
      <c r="L118" s="79">
        <v>3</v>
      </c>
      <c r="M118" s="79">
        <v>1</v>
      </c>
      <c r="N118" s="68">
        <v>7</v>
      </c>
    </row>
    <row r="119" spans="1:14" x14ac:dyDescent="0.25">
      <c r="A119" s="75"/>
      <c r="B119" s="80" t="s">
        <v>45</v>
      </c>
      <c r="C119" s="79"/>
      <c r="D119" s="84" t="s">
        <v>47</v>
      </c>
      <c r="E119" s="79" t="s">
        <v>48</v>
      </c>
      <c r="F119" s="79"/>
      <c r="G119" s="79" t="s">
        <v>163</v>
      </c>
      <c r="H119" s="79" t="s">
        <v>49</v>
      </c>
      <c r="I119" s="79" t="s">
        <v>49</v>
      </c>
      <c r="J119" s="79"/>
      <c r="L119" s="79" t="s">
        <v>285</v>
      </c>
      <c r="M119" s="79"/>
      <c r="N119" s="74"/>
    </row>
    <row r="120" spans="1:14" x14ac:dyDescent="0.25">
      <c r="A120" s="75"/>
      <c r="B120" s="80"/>
      <c r="C120" s="79"/>
      <c r="D120" s="79" t="s">
        <v>46</v>
      </c>
      <c r="E120" s="79"/>
      <c r="F120" s="79"/>
      <c r="G120" s="79" t="s">
        <v>115</v>
      </c>
      <c r="H120" s="50" t="s">
        <v>167</v>
      </c>
      <c r="I120" s="79" t="s">
        <v>53</v>
      </c>
      <c r="J120" s="79"/>
      <c r="K120" s="79"/>
      <c r="L120" s="79"/>
    </row>
    <row r="121" spans="1:14" x14ac:dyDescent="0.25">
      <c r="E121" s="156"/>
      <c r="F121" s="182" t="s">
        <v>112</v>
      </c>
      <c r="G121" s="23"/>
      <c r="L121" s="43" t="s">
        <v>254</v>
      </c>
      <c r="M121" s="23"/>
      <c r="N121" s="23"/>
    </row>
  </sheetData>
  <pageMargins left="0.11811023622047245" right="0.11811023622047245" top="0.55118110236220474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workbookViewId="0">
      <selection activeCell="P10" sqref="P10"/>
    </sheetView>
  </sheetViews>
  <sheetFormatPr defaultRowHeight="15" x14ac:dyDescent="0.25"/>
  <sheetData>
    <row r="1" spans="1:15" ht="15.75" x14ac:dyDescent="0.25">
      <c r="A1" s="167" t="s">
        <v>98</v>
      </c>
    </row>
    <row r="3" spans="1:15" x14ac:dyDescent="0.25">
      <c r="A3" s="274" t="s">
        <v>374</v>
      </c>
      <c r="B3" s="274"/>
      <c r="C3" s="274"/>
      <c r="D3" s="274"/>
    </row>
    <row r="4" spans="1:15" s="1" customFormat="1" x14ac:dyDescent="0.25">
      <c r="A4" s="2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4" t="s">
        <v>14</v>
      </c>
    </row>
    <row r="5" spans="1:15" s="1" customForma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5" s="1" customFormat="1" x14ac:dyDescent="0.25">
      <c r="A6" s="4" t="s">
        <v>15</v>
      </c>
      <c r="B6" s="276">
        <f>41+5+0.5-0.5</f>
        <v>46</v>
      </c>
      <c r="C6" s="277">
        <v>46</v>
      </c>
      <c r="D6" s="277">
        <f>46+1-2</f>
        <v>45</v>
      </c>
      <c r="E6" s="277">
        <v>46</v>
      </c>
      <c r="F6" s="277">
        <v>48</v>
      </c>
      <c r="G6" s="278">
        <f>48+4-1</f>
        <v>51</v>
      </c>
      <c r="H6" s="3">
        <v>51</v>
      </c>
      <c r="I6" s="3">
        <v>53</v>
      </c>
      <c r="J6" s="3">
        <v>54</v>
      </c>
      <c r="K6" s="3">
        <v>55</v>
      </c>
      <c r="L6" s="3">
        <v>56</v>
      </c>
      <c r="M6" s="3">
        <v>58</v>
      </c>
      <c r="N6" s="7">
        <f>SUM(B6:M6)/12</f>
        <v>50.75</v>
      </c>
    </row>
    <row r="7" spans="1:15" s="1" customFormat="1" x14ac:dyDescent="0.25">
      <c r="A7" s="4" t="s">
        <v>16</v>
      </c>
      <c r="B7" s="279">
        <v>2</v>
      </c>
      <c r="C7" s="279">
        <v>2</v>
      </c>
      <c r="D7" s="279">
        <v>2</v>
      </c>
      <c r="E7" s="279">
        <v>2</v>
      </c>
      <c r="F7" s="279">
        <v>2</v>
      </c>
      <c r="G7" s="279">
        <v>2</v>
      </c>
      <c r="H7" s="8">
        <v>2</v>
      </c>
      <c r="I7" s="8">
        <v>2</v>
      </c>
      <c r="J7" s="8">
        <v>2</v>
      </c>
      <c r="K7" s="8">
        <v>2</v>
      </c>
      <c r="L7" s="8">
        <v>2</v>
      </c>
      <c r="M7" s="8">
        <v>2</v>
      </c>
      <c r="N7" s="9">
        <f>SUM(B7:M7)/12</f>
        <v>2</v>
      </c>
    </row>
    <row r="8" spans="1:15" s="1" customFormat="1" x14ac:dyDescent="0.25">
      <c r="A8" s="4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>
        <f>SUM(B8:M8)/12</f>
        <v>0</v>
      </c>
    </row>
    <row r="9" spans="1:15" s="1" customFormat="1" x14ac:dyDescent="0.25">
      <c r="A9" s="4"/>
      <c r="B9" s="10"/>
      <c r="C9" s="10"/>
      <c r="D9" s="10"/>
      <c r="E9" s="10"/>
      <c r="F9" s="10"/>
      <c r="G9" s="10"/>
      <c r="H9" s="8"/>
      <c r="I9" s="10"/>
      <c r="J9" s="10"/>
      <c r="K9" s="10"/>
      <c r="L9" s="10"/>
      <c r="M9" s="10"/>
      <c r="N9" s="11"/>
      <c r="O9" s="12"/>
    </row>
    <row r="10" spans="1:15" s="1" customFormat="1" x14ac:dyDescent="0.25">
      <c r="A10" s="2" t="s">
        <v>51</v>
      </c>
      <c r="B10" s="3">
        <f>B6+(B8*1.5)+(B7*0.8)</f>
        <v>47.6</v>
      </c>
      <c r="C10" s="3">
        <f>C6+(C8*1.5)+(C7*0.8)</f>
        <v>47.6</v>
      </c>
      <c r="D10" s="3">
        <f>D6+(D8*1.5)+(D7*0.8)</f>
        <v>46.6</v>
      </c>
      <c r="E10" s="3">
        <f>E6+(E8*1.5)+(E7*0.8)</f>
        <v>47.6</v>
      </c>
      <c r="F10" s="3">
        <f>F6+(F8*1.5)+(F7*0.8)</f>
        <v>49.6</v>
      </c>
      <c r="G10" s="3">
        <f t="shared" ref="G10:M10" si="0">G6+(G8*1.5)+(G7*0.8)</f>
        <v>52.6</v>
      </c>
      <c r="H10" s="3">
        <f t="shared" si="0"/>
        <v>52.6</v>
      </c>
      <c r="I10" s="3">
        <f t="shared" si="0"/>
        <v>54.6</v>
      </c>
      <c r="J10" s="3">
        <f t="shared" si="0"/>
        <v>55.6</v>
      </c>
      <c r="K10" s="3">
        <f t="shared" si="0"/>
        <v>56.6</v>
      </c>
      <c r="L10" s="3">
        <f t="shared" si="0"/>
        <v>57.6</v>
      </c>
      <c r="M10" s="3">
        <f t="shared" si="0"/>
        <v>59.6</v>
      </c>
      <c r="N10" s="9">
        <f>SUM(B10:M10)/12</f>
        <v>52.350000000000016</v>
      </c>
    </row>
    <row r="11" spans="1:15" s="1" customFormat="1" x14ac:dyDescent="0.25">
      <c r="A11" s="13" t="s">
        <v>19</v>
      </c>
      <c r="B11" s="14">
        <v>6</v>
      </c>
      <c r="C11" s="15">
        <v>0</v>
      </c>
      <c r="D11" s="15">
        <v>1</v>
      </c>
      <c r="E11" s="15">
        <v>1</v>
      </c>
      <c r="F11" s="15">
        <v>2</v>
      </c>
      <c r="G11" s="15">
        <v>4</v>
      </c>
      <c r="H11" s="15">
        <v>0</v>
      </c>
      <c r="I11" s="15">
        <v>2</v>
      </c>
      <c r="J11" s="15">
        <v>1</v>
      </c>
      <c r="K11" s="15">
        <v>1</v>
      </c>
      <c r="L11" s="15">
        <v>1</v>
      </c>
      <c r="M11" s="15">
        <v>2</v>
      </c>
      <c r="N11" s="16">
        <f>SUM(B11:M11)</f>
        <v>21</v>
      </c>
      <c r="O11" s="15"/>
    </row>
    <row r="12" spans="1:15" s="1" customFormat="1" x14ac:dyDescent="0.25">
      <c r="A12" s="233"/>
      <c r="B12" s="14" t="s">
        <v>376</v>
      </c>
      <c r="C12" s="15" t="s">
        <v>217</v>
      </c>
      <c r="E12" s="15"/>
      <c r="F12" s="15" t="s">
        <v>377</v>
      </c>
      <c r="G12" s="15"/>
      <c r="H12" s="15"/>
      <c r="I12" s="15"/>
      <c r="J12" s="15"/>
      <c r="K12" s="15"/>
      <c r="L12" s="15"/>
      <c r="M12" s="15"/>
      <c r="N12" s="234"/>
      <c r="O12" s="15"/>
    </row>
    <row r="13" spans="1:15" x14ac:dyDescent="0.25">
      <c r="A13" s="130" t="s">
        <v>70</v>
      </c>
      <c r="B13" s="102">
        <v>2.5</v>
      </c>
      <c r="C13" s="102">
        <f>3+0.5</f>
        <v>3.5</v>
      </c>
      <c r="D13" s="102">
        <v>5</v>
      </c>
      <c r="E13" s="102">
        <v>5</v>
      </c>
      <c r="F13" s="102">
        <v>6.5</v>
      </c>
      <c r="G13" s="131">
        <f>7+1+0.5</f>
        <v>8.5</v>
      </c>
      <c r="H13" s="131">
        <v>9</v>
      </c>
      <c r="I13" s="131">
        <f>9-1</f>
        <v>8</v>
      </c>
      <c r="J13" s="131">
        <v>8</v>
      </c>
      <c r="K13" s="131">
        <v>8</v>
      </c>
      <c r="L13" s="131">
        <v>8</v>
      </c>
      <c r="M13" s="131">
        <v>8</v>
      </c>
      <c r="N13" s="132">
        <f>SUM(B13,C13,D13,E13,F13,G13,H13,I13,J13,K13,L13,M13)/12</f>
        <v>6.666666666666667</v>
      </c>
      <c r="O13" s="136"/>
    </row>
    <row r="14" spans="1:15" x14ac:dyDescent="0.25">
      <c r="A14" s="130"/>
      <c r="B14" s="102"/>
      <c r="C14" s="102"/>
      <c r="D14" s="102"/>
      <c r="E14" s="102"/>
      <c r="F14" s="102"/>
      <c r="G14" s="131"/>
      <c r="H14" s="131">
        <v>1</v>
      </c>
      <c r="I14" s="131">
        <v>1</v>
      </c>
      <c r="J14" s="131">
        <v>1</v>
      </c>
      <c r="K14" s="131">
        <v>1</v>
      </c>
      <c r="L14" s="131">
        <v>1</v>
      </c>
      <c r="M14" s="131">
        <v>1</v>
      </c>
      <c r="N14" s="275">
        <f>SUM(B14:M14)/12</f>
        <v>0.5</v>
      </c>
      <c r="O14" s="136"/>
    </row>
    <row r="15" spans="1:15" x14ac:dyDescent="0.25">
      <c r="A15" s="102" t="s">
        <v>71</v>
      </c>
      <c r="B15" s="131">
        <v>3</v>
      </c>
      <c r="C15" s="131">
        <v>1</v>
      </c>
      <c r="D15" s="131">
        <v>1</v>
      </c>
      <c r="E15" s="131">
        <v>0</v>
      </c>
      <c r="F15" s="131">
        <v>2</v>
      </c>
      <c r="G15" s="131">
        <v>2</v>
      </c>
      <c r="H15" s="102">
        <v>1</v>
      </c>
      <c r="I15" s="131">
        <v>2</v>
      </c>
      <c r="J15" s="131"/>
      <c r="K15" s="131"/>
      <c r="L15" s="131"/>
      <c r="M15" s="131"/>
      <c r="N15" s="103">
        <f>SUM(N13:N14)</f>
        <v>7.166666666666667</v>
      </c>
      <c r="O15" s="136"/>
    </row>
    <row r="17" spans="1:19" x14ac:dyDescent="0.25">
      <c r="A17" s="133" t="s">
        <v>73</v>
      </c>
      <c r="B17" s="133" t="s">
        <v>378</v>
      </c>
      <c r="C17" s="133" t="s">
        <v>379</v>
      </c>
      <c r="D17" s="133"/>
      <c r="E17" s="133"/>
      <c r="F17" s="133" t="s">
        <v>380</v>
      </c>
      <c r="G17" s="133" t="s">
        <v>381</v>
      </c>
      <c r="H17" s="133" t="s">
        <v>382</v>
      </c>
      <c r="I17" s="133" t="s">
        <v>75</v>
      </c>
      <c r="J17" s="133"/>
      <c r="K17" s="133"/>
      <c r="L17" s="133"/>
      <c r="M17" s="133"/>
      <c r="N17" s="133"/>
      <c r="O17" s="136"/>
    </row>
    <row r="18" spans="1:19" x14ac:dyDescent="0.25">
      <c r="A18" s="136"/>
      <c r="B18" s="136"/>
      <c r="C18" s="136"/>
      <c r="D18" s="136"/>
      <c r="E18" s="136"/>
      <c r="F18" s="136"/>
      <c r="G18" s="136"/>
      <c r="H18" s="136"/>
      <c r="I18" s="101"/>
      <c r="J18" s="136"/>
      <c r="K18" s="136"/>
      <c r="L18" s="136"/>
      <c r="M18" s="136"/>
      <c r="N18" s="136"/>
      <c r="O18" s="136"/>
    </row>
    <row r="19" spans="1:19" x14ac:dyDescent="0.25">
      <c r="A19" s="136"/>
      <c r="B19" s="139"/>
      <c r="C19" s="136"/>
      <c r="D19" s="136"/>
      <c r="E19" s="136"/>
      <c r="F19" s="136"/>
      <c r="G19" s="136"/>
      <c r="H19" s="136"/>
      <c r="I19" s="136"/>
      <c r="J19" s="136"/>
      <c r="K19" s="139"/>
      <c r="L19" s="136"/>
      <c r="M19" s="139"/>
      <c r="N19" s="136"/>
      <c r="O19" s="136"/>
      <c r="P19" s="136"/>
      <c r="Q19" s="136"/>
      <c r="R19" s="136"/>
      <c r="S19" s="136"/>
    </row>
    <row r="20" spans="1:19" x14ac:dyDescent="0.25">
      <c r="A20" s="221" t="s">
        <v>260</v>
      </c>
      <c r="B20" s="221"/>
      <c r="C20" s="221"/>
      <c r="D20" s="221"/>
    </row>
    <row r="21" spans="1:19" s="1" customFormat="1" x14ac:dyDescent="0.25">
      <c r="A21" s="2"/>
      <c r="B21" s="3" t="s">
        <v>2</v>
      </c>
      <c r="C21" s="3" t="s">
        <v>3</v>
      </c>
      <c r="D21" s="3" t="s">
        <v>4</v>
      </c>
      <c r="E21" s="3" t="s">
        <v>5</v>
      </c>
      <c r="F21" s="3" t="s">
        <v>6</v>
      </c>
      <c r="G21" s="3" t="s">
        <v>7</v>
      </c>
      <c r="H21" s="3" t="s">
        <v>8</v>
      </c>
      <c r="I21" s="3" t="s">
        <v>9</v>
      </c>
      <c r="J21" s="3" t="s">
        <v>10</v>
      </c>
      <c r="K21" s="3" t="s">
        <v>11</v>
      </c>
      <c r="L21" s="3" t="s">
        <v>12</v>
      </c>
      <c r="M21" s="3" t="s">
        <v>13</v>
      </c>
      <c r="N21" s="4" t="s">
        <v>14</v>
      </c>
    </row>
    <row r="22" spans="1:19" s="1" customForma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9" s="1" customFormat="1" x14ac:dyDescent="0.25">
      <c r="A23" s="4" t="s">
        <v>15</v>
      </c>
      <c r="B23" s="5">
        <f>71-30+4+0.5</f>
        <v>45.5</v>
      </c>
      <c r="C23" s="3">
        <v>47</v>
      </c>
      <c r="D23" s="3">
        <v>48</v>
      </c>
      <c r="E23" s="3">
        <v>48</v>
      </c>
      <c r="F23" s="3">
        <v>50</v>
      </c>
      <c r="G23" s="6">
        <v>53</v>
      </c>
      <c r="H23" s="3">
        <v>54</v>
      </c>
      <c r="I23" s="3">
        <v>56</v>
      </c>
      <c r="J23" s="3">
        <v>57</v>
      </c>
      <c r="K23" s="3">
        <v>57</v>
      </c>
      <c r="L23" s="3">
        <v>58</v>
      </c>
      <c r="M23" s="3">
        <v>60</v>
      </c>
      <c r="N23" s="7">
        <f>SUM(B23:M23)/12</f>
        <v>52.791666666666664</v>
      </c>
    </row>
    <row r="24" spans="1:19" s="1" customFormat="1" x14ac:dyDescent="0.25">
      <c r="A24" s="4" t="s">
        <v>16</v>
      </c>
      <c r="B24" s="8">
        <v>2</v>
      </c>
      <c r="C24" s="8">
        <v>2</v>
      </c>
      <c r="D24" s="8">
        <v>2</v>
      </c>
      <c r="E24" s="8">
        <v>1</v>
      </c>
      <c r="F24" s="8">
        <v>2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  <c r="N24" s="9">
        <f>SUM(B24:M24)/12</f>
        <v>1.3333333333333333</v>
      </c>
    </row>
    <row r="25" spans="1:19" s="1" customFormat="1" x14ac:dyDescent="0.25">
      <c r="A25" s="4" t="s">
        <v>17</v>
      </c>
      <c r="B25" s="10">
        <v>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9">
        <f>SUM(B25:M25)/12</f>
        <v>8.3333333333333329E-2</v>
      </c>
    </row>
    <row r="26" spans="1:19" s="1" customFormat="1" x14ac:dyDescent="0.25">
      <c r="A26" s="4"/>
      <c r="B26" s="10"/>
      <c r="C26" s="10"/>
      <c r="D26" s="10"/>
      <c r="E26" s="10"/>
      <c r="F26" s="10"/>
      <c r="G26" s="10"/>
      <c r="H26" s="8"/>
      <c r="I26" s="10"/>
      <c r="J26" s="10"/>
      <c r="K26" s="10"/>
      <c r="L26" s="10"/>
      <c r="M26" s="10"/>
      <c r="N26" s="11"/>
      <c r="O26" s="12"/>
    </row>
    <row r="27" spans="1:19" s="1" customFormat="1" x14ac:dyDescent="0.25">
      <c r="A27" s="2" t="s">
        <v>51</v>
      </c>
      <c r="B27" s="3">
        <f>B23+(B25*1.5)+(B24*0.8)</f>
        <v>48.6</v>
      </c>
      <c r="C27" s="3">
        <f>C23+(C25*1.5)+(C24*0.8)</f>
        <v>48.6</v>
      </c>
      <c r="D27" s="3">
        <f>D23+(D25*1.5)+(D24*0.8)</f>
        <v>49.6</v>
      </c>
      <c r="E27" s="3">
        <f>E23+(E25*1.5)+(E24*0.8)</f>
        <v>48.8</v>
      </c>
      <c r="F27" s="3">
        <f>F23+(F25*1.5)+(F24*0.8)</f>
        <v>51.6</v>
      </c>
      <c r="G27" s="3">
        <f t="shared" ref="G27:M27" si="1">G23+(G25*1.5)+(G24*0.8)</f>
        <v>53.8</v>
      </c>
      <c r="H27" s="3">
        <f t="shared" si="1"/>
        <v>54.8</v>
      </c>
      <c r="I27" s="3">
        <f t="shared" si="1"/>
        <v>56.8</v>
      </c>
      <c r="J27" s="3">
        <f t="shared" si="1"/>
        <v>57.8</v>
      </c>
      <c r="K27" s="3">
        <f t="shared" si="1"/>
        <v>57.8</v>
      </c>
      <c r="L27" s="3">
        <f t="shared" si="1"/>
        <v>58.8</v>
      </c>
      <c r="M27" s="3">
        <f t="shared" si="1"/>
        <v>60.8</v>
      </c>
      <c r="N27" s="9">
        <f>SUM(B27:M27)/12</f>
        <v>53.983333333333327</v>
      </c>
    </row>
    <row r="28" spans="1:19" s="1" customFormat="1" x14ac:dyDescent="0.25">
      <c r="A28" s="13" t="s">
        <v>19</v>
      </c>
      <c r="B28" s="14">
        <v>6</v>
      </c>
      <c r="C28" s="15">
        <v>0</v>
      </c>
      <c r="D28" s="15">
        <v>1</v>
      </c>
      <c r="E28" s="15">
        <v>0</v>
      </c>
      <c r="F28" s="15">
        <v>2</v>
      </c>
      <c r="G28" s="15">
        <v>2</v>
      </c>
      <c r="H28" s="15">
        <v>1</v>
      </c>
      <c r="I28" s="15">
        <v>2</v>
      </c>
      <c r="J28" s="15">
        <v>1</v>
      </c>
      <c r="K28" s="15">
        <v>0</v>
      </c>
      <c r="L28" s="15">
        <v>1</v>
      </c>
      <c r="M28" s="15">
        <v>2</v>
      </c>
      <c r="N28" s="16">
        <f>SUM(B28:M28)</f>
        <v>18</v>
      </c>
      <c r="O28" s="15"/>
    </row>
    <row r="29" spans="1:19" x14ac:dyDescent="0.25">
      <c r="B29" s="84" t="s">
        <v>301</v>
      </c>
      <c r="G29" s="84" t="s">
        <v>286</v>
      </c>
    </row>
    <row r="30" spans="1:19" x14ac:dyDescent="0.25">
      <c r="B30">
        <v>-240911</v>
      </c>
      <c r="G30" s="84"/>
    </row>
    <row r="31" spans="1:19" x14ac:dyDescent="0.25">
      <c r="B31" s="43" t="s">
        <v>158</v>
      </c>
    </row>
    <row r="32" spans="1:19" x14ac:dyDescent="0.25">
      <c r="A32" s="130" t="s">
        <v>70</v>
      </c>
      <c r="B32" s="102">
        <v>2.5</v>
      </c>
      <c r="C32" s="102">
        <f>3+1+0.5+0.75</f>
        <v>5.25</v>
      </c>
      <c r="D32" s="102">
        <v>6</v>
      </c>
      <c r="E32" s="102">
        <v>6</v>
      </c>
      <c r="F32" s="102">
        <v>5</v>
      </c>
      <c r="G32" s="131">
        <v>5</v>
      </c>
      <c r="H32" s="131">
        <v>5</v>
      </c>
      <c r="I32" s="131">
        <v>5</v>
      </c>
      <c r="J32" s="131">
        <v>5</v>
      </c>
      <c r="K32" s="131">
        <v>5</v>
      </c>
      <c r="L32" s="131">
        <v>5</v>
      </c>
      <c r="M32" s="131">
        <v>5</v>
      </c>
      <c r="N32" s="132">
        <f>SUM(B32,C32,D32,E32,F32,G32,H32,I32,J32,K32,L32,M32)/12</f>
        <v>4.979166666666667</v>
      </c>
      <c r="O32" s="136"/>
    </row>
    <row r="33" spans="1:15" x14ac:dyDescent="0.25">
      <c r="A33" s="102" t="s">
        <v>71</v>
      </c>
      <c r="B33" s="131"/>
      <c r="C33" s="131"/>
      <c r="D33" s="131"/>
      <c r="E33" s="131"/>
      <c r="F33" s="131"/>
      <c r="G33" s="131"/>
      <c r="H33" s="102"/>
      <c r="I33" s="131"/>
      <c r="J33" s="131"/>
      <c r="K33" s="131"/>
      <c r="L33" s="131"/>
      <c r="M33" s="131"/>
      <c r="N33" s="103"/>
      <c r="O33" s="136"/>
    </row>
    <row r="35" spans="1:15" x14ac:dyDescent="0.25">
      <c r="A35" s="133" t="s">
        <v>73</v>
      </c>
      <c r="B35" s="133" t="s">
        <v>288</v>
      </c>
      <c r="C35" s="133" t="s">
        <v>289</v>
      </c>
      <c r="D35" s="133"/>
      <c r="E35" s="133"/>
      <c r="F35" s="133" t="s">
        <v>290</v>
      </c>
      <c r="G35" s="133"/>
      <c r="H35" s="133"/>
      <c r="I35" s="133"/>
      <c r="J35" s="133"/>
      <c r="K35" s="133"/>
      <c r="L35" s="133"/>
      <c r="M35" s="133"/>
      <c r="N35" s="133"/>
      <c r="O35" s="136"/>
    </row>
    <row r="36" spans="1:15" x14ac:dyDescent="0.25">
      <c r="A36" s="136"/>
      <c r="B36" s="136"/>
      <c r="C36" s="136"/>
      <c r="D36" s="136"/>
      <c r="E36" s="136"/>
      <c r="F36" s="136"/>
      <c r="G36" s="136"/>
      <c r="H36" s="136"/>
      <c r="I36" s="101"/>
      <c r="J36" s="136"/>
      <c r="K36" s="136"/>
      <c r="L36" s="136"/>
      <c r="M36" s="136"/>
      <c r="N36" s="136"/>
      <c r="O36" s="136"/>
    </row>
    <row r="37" spans="1:15" x14ac:dyDescent="0.25">
      <c r="A37" s="251" t="s">
        <v>375</v>
      </c>
      <c r="B37" s="251"/>
      <c r="C37" s="251"/>
      <c r="D37" s="251"/>
    </row>
    <row r="38" spans="1:15" s="1" customFormat="1" x14ac:dyDescent="0.25">
      <c r="A38" s="2"/>
      <c r="B38" s="3" t="s">
        <v>2</v>
      </c>
      <c r="C38" s="3" t="s">
        <v>3</v>
      </c>
      <c r="D38" s="3" t="s">
        <v>4</v>
      </c>
      <c r="E38" s="3" t="s">
        <v>5</v>
      </c>
      <c r="F38" s="3" t="s">
        <v>6</v>
      </c>
      <c r="G38" s="3" t="s">
        <v>7</v>
      </c>
      <c r="H38" s="3" t="s">
        <v>8</v>
      </c>
      <c r="I38" s="3" t="s">
        <v>9</v>
      </c>
      <c r="J38" s="3" t="s">
        <v>10</v>
      </c>
      <c r="K38" s="3" t="s">
        <v>11</v>
      </c>
      <c r="L38" s="3" t="s">
        <v>12</v>
      </c>
      <c r="M38" s="3" t="s">
        <v>13</v>
      </c>
      <c r="N38" s="4" t="s">
        <v>14</v>
      </c>
    </row>
    <row r="39" spans="1:15" s="1" customForma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5" s="1" customFormat="1" x14ac:dyDescent="0.25">
      <c r="A40" s="4" t="s">
        <v>15</v>
      </c>
      <c r="B40" s="5">
        <f>58-16+2</f>
        <v>44</v>
      </c>
      <c r="C40" s="3">
        <v>44</v>
      </c>
      <c r="D40" s="3">
        <v>45</v>
      </c>
      <c r="E40" s="3">
        <v>48</v>
      </c>
      <c r="F40" s="3">
        <v>48</v>
      </c>
      <c r="G40" s="6">
        <v>50</v>
      </c>
      <c r="H40" s="3">
        <v>50</v>
      </c>
      <c r="I40" s="3">
        <v>50</v>
      </c>
      <c r="J40" s="3">
        <v>51</v>
      </c>
      <c r="K40" s="3">
        <v>55</v>
      </c>
      <c r="L40" s="3">
        <v>55</v>
      </c>
      <c r="M40" s="3">
        <v>55</v>
      </c>
      <c r="N40" s="7">
        <f>SUM(B40:M40)/12</f>
        <v>49.583333333333336</v>
      </c>
    </row>
    <row r="41" spans="1:15" s="1" customFormat="1" x14ac:dyDescent="0.25">
      <c r="A41" s="4" t="s">
        <v>16</v>
      </c>
      <c r="B41" s="8">
        <v>2</v>
      </c>
      <c r="C41" s="8">
        <v>2</v>
      </c>
      <c r="D41" s="8">
        <v>2</v>
      </c>
      <c r="E41" s="8">
        <v>2</v>
      </c>
      <c r="F41" s="8">
        <v>2</v>
      </c>
      <c r="G41" s="8">
        <v>2</v>
      </c>
      <c r="H41" s="8">
        <v>2</v>
      </c>
      <c r="I41" s="8">
        <v>2</v>
      </c>
      <c r="J41" s="8">
        <v>2</v>
      </c>
      <c r="K41" s="8">
        <v>2</v>
      </c>
      <c r="L41" s="8">
        <v>2</v>
      </c>
      <c r="M41" s="8">
        <v>2</v>
      </c>
      <c r="N41" s="9">
        <f>SUM(B41:M41)/12</f>
        <v>2</v>
      </c>
    </row>
    <row r="42" spans="1:15" s="1" customFormat="1" x14ac:dyDescent="0.25">
      <c r="A42" s="4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">
        <f>SUM(B42:M42)/12</f>
        <v>0</v>
      </c>
    </row>
    <row r="43" spans="1:15" s="1" customFormat="1" x14ac:dyDescent="0.25">
      <c r="A43" s="4"/>
      <c r="B43" s="10"/>
      <c r="C43" s="10"/>
      <c r="D43" s="10"/>
      <c r="E43" s="10"/>
      <c r="F43" s="10"/>
      <c r="G43" s="10"/>
      <c r="H43" s="8"/>
      <c r="I43" s="10"/>
      <c r="J43" s="10"/>
      <c r="K43" s="10"/>
      <c r="L43" s="10"/>
      <c r="M43" s="10"/>
      <c r="N43" s="11"/>
      <c r="O43" s="12"/>
    </row>
    <row r="44" spans="1:15" s="1" customFormat="1" x14ac:dyDescent="0.25">
      <c r="A44" s="2" t="s">
        <v>51</v>
      </c>
      <c r="B44" s="3">
        <f>B40+(B42*1.5)+(B41*0.8)</f>
        <v>45.6</v>
      </c>
      <c r="C44" s="3">
        <f>C40+(C42*1.5)+(C41*0.8)</f>
        <v>45.6</v>
      </c>
      <c r="D44" s="3">
        <f>D40+(D42*1.5)+(D41*0.8)</f>
        <v>46.6</v>
      </c>
      <c r="E44" s="3">
        <f>E40+(E42*1.5)+(E41*0.8)</f>
        <v>49.6</v>
      </c>
      <c r="F44" s="3">
        <f>F40+(F42*1.5)+(F41*0.8)</f>
        <v>49.6</v>
      </c>
      <c r="G44" s="3">
        <f t="shared" ref="G44:M44" si="2">G40+(G42*1.5)+(G41*0.8)</f>
        <v>51.6</v>
      </c>
      <c r="H44" s="3">
        <f t="shared" si="2"/>
        <v>51.6</v>
      </c>
      <c r="I44" s="3">
        <f t="shared" si="2"/>
        <v>51.6</v>
      </c>
      <c r="J44" s="3">
        <f t="shared" si="2"/>
        <v>52.6</v>
      </c>
      <c r="K44" s="3">
        <f t="shared" si="2"/>
        <v>56.6</v>
      </c>
      <c r="L44" s="3">
        <f t="shared" si="2"/>
        <v>56.6</v>
      </c>
      <c r="M44" s="3">
        <f t="shared" si="2"/>
        <v>56.6</v>
      </c>
      <c r="N44" s="9">
        <f>SUM(B44:M44)/12</f>
        <v>51.183333333333344</v>
      </c>
    </row>
    <row r="45" spans="1:15" s="1" customFormat="1" x14ac:dyDescent="0.25">
      <c r="A45" s="13" t="s">
        <v>19</v>
      </c>
      <c r="B45" s="14">
        <v>2</v>
      </c>
      <c r="C45" s="15">
        <v>0</v>
      </c>
      <c r="D45" s="15">
        <v>1</v>
      </c>
      <c r="E45" s="15">
        <v>3</v>
      </c>
      <c r="F45" s="15">
        <v>0</v>
      </c>
      <c r="G45" s="15">
        <v>2</v>
      </c>
      <c r="H45" s="15">
        <v>0</v>
      </c>
      <c r="I45" s="15">
        <v>0</v>
      </c>
      <c r="J45" s="15">
        <v>1</v>
      </c>
      <c r="K45" s="15">
        <v>4</v>
      </c>
      <c r="L45" s="15">
        <v>0</v>
      </c>
      <c r="M45" s="15">
        <v>0</v>
      </c>
      <c r="N45" s="16">
        <f>SUM(B45:M45)</f>
        <v>13</v>
      </c>
      <c r="O45" s="15"/>
    </row>
    <row r="46" spans="1:15" x14ac:dyDescent="0.25">
      <c r="B46" s="84" t="s">
        <v>230</v>
      </c>
      <c r="G46" s="84"/>
    </row>
    <row r="47" spans="1:15" x14ac:dyDescent="0.25">
      <c r="B47" s="43"/>
    </row>
    <row r="48" spans="1:15" x14ac:dyDescent="0.25">
      <c r="A48" s="130" t="s">
        <v>70</v>
      </c>
      <c r="B48" s="102">
        <v>9</v>
      </c>
      <c r="C48" s="102">
        <v>9</v>
      </c>
      <c r="D48" s="102">
        <v>9</v>
      </c>
      <c r="E48" s="102">
        <v>9</v>
      </c>
      <c r="F48" s="102">
        <v>9</v>
      </c>
      <c r="G48" s="131">
        <v>8</v>
      </c>
      <c r="H48" s="131">
        <v>8</v>
      </c>
      <c r="I48" s="131">
        <v>8</v>
      </c>
      <c r="J48" s="131">
        <v>8</v>
      </c>
      <c r="K48" s="131">
        <v>6</v>
      </c>
      <c r="L48" s="131">
        <v>6</v>
      </c>
      <c r="M48" s="131">
        <v>6</v>
      </c>
      <c r="N48" s="132">
        <f>SUM(B48,C48,D48,E48,F48,G48,H48,I48,J48,K48,L48,M48)/12</f>
        <v>7.916666666666667</v>
      </c>
      <c r="O48" s="136"/>
    </row>
    <row r="49" spans="1:19" x14ac:dyDescent="0.25">
      <c r="A49" s="102" t="s">
        <v>71</v>
      </c>
      <c r="B49" s="131"/>
      <c r="C49" s="131"/>
      <c r="D49" s="131"/>
      <c r="E49" s="131"/>
      <c r="F49" s="131"/>
      <c r="G49" s="131"/>
      <c r="H49" s="102"/>
      <c r="I49" s="131"/>
      <c r="J49" s="131"/>
      <c r="K49" s="131"/>
      <c r="L49" s="131"/>
      <c r="M49" s="131"/>
      <c r="N49" s="103"/>
      <c r="O49" s="136"/>
    </row>
    <row r="51" spans="1:19" x14ac:dyDescent="0.25">
      <c r="A51" s="133" t="s">
        <v>73</v>
      </c>
      <c r="B51" s="133"/>
      <c r="C51" s="133"/>
      <c r="D51" s="133"/>
      <c r="E51" s="133"/>
      <c r="F51" s="133"/>
      <c r="G51" s="133" t="s">
        <v>377</v>
      </c>
      <c r="H51" s="133"/>
      <c r="I51" s="133"/>
      <c r="J51" s="133"/>
      <c r="K51" s="133" t="s">
        <v>247</v>
      </c>
      <c r="L51" s="133"/>
      <c r="M51" s="133"/>
      <c r="N51" s="133"/>
      <c r="O51" s="136"/>
    </row>
    <row r="52" spans="1:19" x14ac:dyDescent="0.25">
      <c r="A52" s="136"/>
      <c r="B52" s="136"/>
      <c r="C52" s="136"/>
      <c r="D52" s="136"/>
      <c r="E52" s="136"/>
      <c r="F52" s="136"/>
      <c r="G52" s="136"/>
      <c r="H52" s="136"/>
      <c r="I52" s="101"/>
      <c r="J52" s="136"/>
      <c r="K52" s="136"/>
      <c r="L52" s="136"/>
      <c r="M52" s="136"/>
      <c r="N52" s="136"/>
      <c r="O52" s="136"/>
    </row>
    <row r="53" spans="1:19" x14ac:dyDescent="0.25">
      <c r="A53" s="136"/>
      <c r="B53" s="139"/>
      <c r="C53" s="136"/>
      <c r="D53" s="136"/>
      <c r="E53" s="136"/>
      <c r="F53" s="136"/>
      <c r="G53" s="136"/>
      <c r="H53" s="136"/>
      <c r="I53" s="136"/>
      <c r="J53" s="136"/>
      <c r="K53" s="139"/>
      <c r="L53" s="136"/>
      <c r="M53" s="139"/>
      <c r="N53" s="136"/>
      <c r="O53" s="136"/>
      <c r="P53" s="136"/>
      <c r="Q53" s="136"/>
      <c r="R53" s="136"/>
      <c r="S53" s="136"/>
    </row>
    <row r="54" spans="1:19" x14ac:dyDescent="0.25">
      <c r="A54" s="229" t="s">
        <v>239</v>
      </c>
      <c r="B54" s="229"/>
      <c r="C54" s="229"/>
      <c r="D54" s="229"/>
    </row>
    <row r="55" spans="1:19" s="1" customFormat="1" x14ac:dyDescent="0.25">
      <c r="A55" s="2"/>
      <c r="B55" s="3" t="s">
        <v>2</v>
      </c>
      <c r="C55" s="3" t="s">
        <v>3</v>
      </c>
      <c r="D55" s="3" t="s">
        <v>4</v>
      </c>
      <c r="E55" s="3" t="s">
        <v>5</v>
      </c>
      <c r="F55" s="3" t="s">
        <v>6</v>
      </c>
      <c r="G55" s="3" t="s">
        <v>7</v>
      </c>
      <c r="H55" s="3" t="s">
        <v>8</v>
      </c>
      <c r="I55" s="3" t="s">
        <v>9</v>
      </c>
      <c r="J55" s="3" t="s">
        <v>10</v>
      </c>
      <c r="K55" s="3" t="s">
        <v>11</v>
      </c>
      <c r="L55" s="3" t="s">
        <v>12</v>
      </c>
      <c r="M55" s="3" t="s">
        <v>13</v>
      </c>
      <c r="N55" s="4" t="s">
        <v>14</v>
      </c>
    </row>
    <row r="56" spans="1:19" s="1" customForma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9" s="1" customFormat="1" x14ac:dyDescent="0.25">
      <c r="A57" s="4" t="s">
        <v>15</v>
      </c>
      <c r="B57" s="5">
        <f>72-30+2</f>
        <v>44</v>
      </c>
      <c r="C57" s="3">
        <v>45</v>
      </c>
      <c r="D57" s="3">
        <v>46</v>
      </c>
      <c r="E57" s="3">
        <v>46</v>
      </c>
      <c r="F57" s="3">
        <v>48</v>
      </c>
      <c r="G57" s="6">
        <v>50</v>
      </c>
      <c r="H57" s="3">
        <v>51</v>
      </c>
      <c r="I57" s="3">
        <v>52</v>
      </c>
      <c r="J57" s="3">
        <v>53</v>
      </c>
      <c r="K57" s="3">
        <v>53</v>
      </c>
      <c r="L57" s="3">
        <v>54</v>
      </c>
      <c r="M57" s="3">
        <v>56</v>
      </c>
      <c r="N57" s="7">
        <f>SUM(B57:M57)/12</f>
        <v>49.833333333333336</v>
      </c>
    </row>
    <row r="58" spans="1:19" s="1" customFormat="1" x14ac:dyDescent="0.25">
      <c r="A58" s="4" t="s">
        <v>16</v>
      </c>
      <c r="B58" s="8">
        <v>1</v>
      </c>
      <c r="C58" s="8">
        <v>1</v>
      </c>
      <c r="D58" s="8">
        <v>1</v>
      </c>
      <c r="E58" s="8">
        <v>1</v>
      </c>
      <c r="F58" s="8">
        <v>1</v>
      </c>
      <c r="G58" s="8">
        <v>1</v>
      </c>
      <c r="H58" s="8">
        <v>1</v>
      </c>
      <c r="I58" s="8">
        <v>1</v>
      </c>
      <c r="J58" s="8">
        <v>1</v>
      </c>
      <c r="K58" s="8">
        <v>1</v>
      </c>
      <c r="L58" s="8">
        <v>1</v>
      </c>
      <c r="M58" s="8">
        <v>1</v>
      </c>
      <c r="N58" s="9">
        <f>SUM(B58:M58)/12</f>
        <v>1</v>
      </c>
    </row>
    <row r="59" spans="1:19" s="1" customFormat="1" x14ac:dyDescent="0.25">
      <c r="A59" s="4" t="s">
        <v>17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9">
        <f>SUM(B59:M59)/12</f>
        <v>0</v>
      </c>
    </row>
    <row r="60" spans="1:19" s="1" customFormat="1" x14ac:dyDescent="0.25">
      <c r="A60" s="4"/>
      <c r="B60" s="10"/>
      <c r="C60" s="10"/>
      <c r="D60" s="10"/>
      <c r="E60" s="10"/>
      <c r="F60" s="10"/>
      <c r="G60" s="10"/>
      <c r="H60" s="8"/>
      <c r="I60" s="10"/>
      <c r="J60" s="10"/>
      <c r="K60" s="10"/>
      <c r="L60" s="10"/>
      <c r="M60" s="10"/>
      <c r="N60" s="11"/>
      <c r="O60" s="12"/>
    </row>
    <row r="61" spans="1:19" s="1" customFormat="1" x14ac:dyDescent="0.25">
      <c r="A61" s="2" t="s">
        <v>51</v>
      </c>
      <c r="B61" s="3">
        <f>B57+(B59*1.5)+(B58*0.8)</f>
        <v>44.8</v>
      </c>
      <c r="C61" s="3">
        <f>C57+(C59*1.5)+(C58*0.8)</f>
        <v>45.8</v>
      </c>
      <c r="D61" s="3">
        <f>D57+(D59*1.5)+(D58*0.8)</f>
        <v>46.8</v>
      </c>
      <c r="E61" s="3">
        <f>E57+(E59*1.5)+(E58*0.8)</f>
        <v>46.8</v>
      </c>
      <c r="F61" s="3">
        <f>F57+(F59*1.5)+(F58*0.8)</f>
        <v>48.8</v>
      </c>
      <c r="G61" s="3">
        <f t="shared" ref="G61:M61" si="3">G57+(G59*1.5)+(G58*0.8)</f>
        <v>50.8</v>
      </c>
      <c r="H61" s="3">
        <f t="shared" si="3"/>
        <v>51.8</v>
      </c>
      <c r="I61" s="3">
        <f t="shared" si="3"/>
        <v>52.8</v>
      </c>
      <c r="J61" s="3">
        <f t="shared" si="3"/>
        <v>53.8</v>
      </c>
      <c r="K61" s="3">
        <f t="shared" si="3"/>
        <v>53.8</v>
      </c>
      <c r="L61" s="3">
        <f t="shared" si="3"/>
        <v>54.8</v>
      </c>
      <c r="M61" s="3">
        <f t="shared" si="3"/>
        <v>56.8</v>
      </c>
      <c r="N61" s="9">
        <f>SUM(B61:M61)/12</f>
        <v>50.633333333333333</v>
      </c>
    </row>
    <row r="62" spans="1:19" s="1" customFormat="1" x14ac:dyDescent="0.25">
      <c r="A62" s="13" t="s">
        <v>19</v>
      </c>
      <c r="B62" s="14">
        <v>2</v>
      </c>
      <c r="C62" s="15">
        <v>1</v>
      </c>
      <c r="D62" s="15">
        <v>1</v>
      </c>
      <c r="E62" s="15">
        <v>0</v>
      </c>
      <c r="F62" s="15">
        <v>2</v>
      </c>
      <c r="G62" s="15">
        <v>2</v>
      </c>
      <c r="H62" s="15">
        <v>1</v>
      </c>
      <c r="I62" s="15">
        <v>1</v>
      </c>
      <c r="J62" s="15">
        <v>1</v>
      </c>
      <c r="K62" s="15">
        <v>0</v>
      </c>
      <c r="L62" s="15">
        <v>1</v>
      </c>
      <c r="M62" s="15">
        <v>2</v>
      </c>
      <c r="N62" s="16">
        <f>SUM(B62:M62)</f>
        <v>14</v>
      </c>
      <c r="O62" s="15"/>
    </row>
    <row r="63" spans="1:19" x14ac:dyDescent="0.25">
      <c r="B63" s="43" t="s">
        <v>158</v>
      </c>
    </row>
    <row r="65" spans="1:14" x14ac:dyDescent="0.25">
      <c r="A65" s="189" t="s">
        <v>90</v>
      </c>
      <c r="B65" s="189"/>
      <c r="C65" s="189"/>
      <c r="D65" s="189"/>
    </row>
    <row r="66" spans="1:14" x14ac:dyDescent="0.25">
      <c r="A66" s="140" t="s">
        <v>50</v>
      </c>
      <c r="B66" s="141" t="s">
        <v>2</v>
      </c>
      <c r="C66" s="141" t="s">
        <v>3</v>
      </c>
      <c r="D66" s="141" t="s">
        <v>4</v>
      </c>
      <c r="E66" s="141" t="s">
        <v>5</v>
      </c>
      <c r="F66" s="141" t="s">
        <v>6</v>
      </c>
      <c r="G66" s="141" t="s">
        <v>7</v>
      </c>
      <c r="H66" s="141" t="s">
        <v>8</v>
      </c>
      <c r="I66" s="141" t="s">
        <v>9</v>
      </c>
      <c r="J66" s="141" t="s">
        <v>10</v>
      </c>
      <c r="K66" s="141" t="s">
        <v>11</v>
      </c>
      <c r="L66" s="141" t="s">
        <v>12</v>
      </c>
      <c r="M66" s="141" t="s">
        <v>13</v>
      </c>
      <c r="N66" s="142" t="s">
        <v>14</v>
      </c>
    </row>
    <row r="67" spans="1:14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</row>
    <row r="68" spans="1:14" x14ac:dyDescent="0.25">
      <c r="A68" s="142" t="s">
        <v>15</v>
      </c>
      <c r="B68" s="154">
        <f>65-29+3</f>
        <v>39</v>
      </c>
      <c r="C68" s="150">
        <v>40</v>
      </c>
      <c r="D68" s="150">
        <v>41</v>
      </c>
      <c r="E68" s="150">
        <v>41</v>
      </c>
      <c r="F68" s="150">
        <v>43</v>
      </c>
      <c r="G68" s="151">
        <v>45</v>
      </c>
      <c r="H68" s="150">
        <v>46</v>
      </c>
      <c r="I68" s="150">
        <v>47</v>
      </c>
      <c r="J68" s="150">
        <v>48</v>
      </c>
      <c r="K68" s="150">
        <v>48</v>
      </c>
      <c r="L68" s="150">
        <v>49</v>
      </c>
      <c r="M68" s="150">
        <v>51</v>
      </c>
      <c r="N68" s="7">
        <f>SUM(B68:M68)/12</f>
        <v>44.833333333333336</v>
      </c>
    </row>
    <row r="69" spans="1:14" x14ac:dyDescent="0.25">
      <c r="A69" s="142" t="s">
        <v>16</v>
      </c>
      <c r="B69" s="40">
        <v>1</v>
      </c>
      <c r="C69" s="40">
        <v>1</v>
      </c>
      <c r="D69" s="40">
        <v>1</v>
      </c>
      <c r="E69" s="40">
        <v>1</v>
      </c>
      <c r="F69" s="40">
        <v>1</v>
      </c>
      <c r="G69" s="40">
        <v>1</v>
      </c>
      <c r="H69" s="40">
        <v>1</v>
      </c>
      <c r="I69" s="40">
        <v>1</v>
      </c>
      <c r="J69" s="40">
        <v>1</v>
      </c>
      <c r="K69" s="40">
        <v>1</v>
      </c>
      <c r="L69" s="40">
        <v>1</v>
      </c>
      <c r="M69" s="40">
        <v>1</v>
      </c>
      <c r="N69" s="9">
        <f>SUM(B69:M69)/12</f>
        <v>1</v>
      </c>
    </row>
    <row r="70" spans="1:14" x14ac:dyDescent="0.25">
      <c r="A70" s="142" t="s">
        <v>17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9">
        <f>SUM(B70:M70)/12</f>
        <v>0</v>
      </c>
    </row>
    <row r="71" spans="1:14" x14ac:dyDescent="0.25">
      <c r="A71" s="142"/>
      <c r="B71" s="10"/>
      <c r="C71" s="10"/>
      <c r="D71" s="10"/>
      <c r="E71" s="10"/>
      <c r="F71" s="10"/>
      <c r="G71" s="10"/>
      <c r="H71" s="8"/>
      <c r="I71" s="10"/>
      <c r="J71" s="10"/>
      <c r="K71" s="10"/>
      <c r="L71" s="10"/>
      <c r="M71" s="10"/>
      <c r="N71" s="11"/>
    </row>
    <row r="72" spans="1:14" x14ac:dyDescent="0.25">
      <c r="A72" s="140" t="s">
        <v>51</v>
      </c>
      <c r="B72" s="3">
        <f>B68+(B70*1.5)+(B69*0.8)</f>
        <v>39.799999999999997</v>
      </c>
      <c r="C72" s="3">
        <f>C68+(C70*1.5)+(C69*0.8)</f>
        <v>40.799999999999997</v>
      </c>
      <c r="D72" s="3">
        <f>D68+(D70*1.5)+(D69*0.8)</f>
        <v>41.8</v>
      </c>
      <c r="E72" s="3">
        <f>E68+(E70*1.5)+(E69*0.8)</f>
        <v>41.8</v>
      </c>
      <c r="F72" s="3">
        <f>F68+(F70*1.5)+(F69*0.8)</f>
        <v>43.8</v>
      </c>
      <c r="G72" s="3">
        <f t="shared" ref="G72:M72" si="4">G68+(G70*1.5)+(G69*0.8)</f>
        <v>45.8</v>
      </c>
      <c r="H72" s="3">
        <f t="shared" si="4"/>
        <v>46.8</v>
      </c>
      <c r="I72" s="3">
        <f t="shared" si="4"/>
        <v>47.8</v>
      </c>
      <c r="J72" s="3">
        <f t="shared" si="4"/>
        <v>48.8</v>
      </c>
      <c r="K72" s="3">
        <f t="shared" si="4"/>
        <v>48.8</v>
      </c>
      <c r="L72" s="3">
        <f t="shared" si="4"/>
        <v>49.8</v>
      </c>
      <c r="M72" s="3">
        <f t="shared" si="4"/>
        <v>51.8</v>
      </c>
      <c r="N72" s="9">
        <f>SUM(B72:M72)/12</f>
        <v>45.633333333333333</v>
      </c>
    </row>
    <row r="73" spans="1:14" x14ac:dyDescent="0.25">
      <c r="A73" s="81" t="s">
        <v>19</v>
      </c>
      <c r="B73" s="80">
        <v>3</v>
      </c>
      <c r="C73" s="79">
        <v>1</v>
      </c>
      <c r="D73" s="79">
        <v>1</v>
      </c>
      <c r="E73" s="79">
        <v>0</v>
      </c>
      <c r="F73" s="79">
        <v>2</v>
      </c>
      <c r="G73" s="79">
        <v>2</v>
      </c>
      <c r="H73" s="79">
        <v>1</v>
      </c>
      <c r="I73" s="79">
        <v>1</v>
      </c>
      <c r="J73" s="79">
        <v>1</v>
      </c>
      <c r="K73" s="79">
        <v>0</v>
      </c>
      <c r="L73" s="79">
        <v>1</v>
      </c>
      <c r="M73" s="79">
        <v>2</v>
      </c>
      <c r="N73" s="82">
        <f>SUM(B73:M73)</f>
        <v>15</v>
      </c>
    </row>
    <row r="74" spans="1:14" x14ac:dyDescent="0.25">
      <c r="B74" t="s">
        <v>92</v>
      </c>
    </row>
    <row r="76" spans="1:14" x14ac:dyDescent="0.25">
      <c r="A76" s="189" t="s">
        <v>126</v>
      </c>
      <c r="B76" s="189"/>
      <c r="C76" s="189"/>
      <c r="D76" s="189"/>
    </row>
    <row r="77" spans="1:14" s="1" customFormat="1" x14ac:dyDescent="0.25">
      <c r="A77" s="2"/>
      <c r="B77" s="3" t="s">
        <v>2</v>
      </c>
      <c r="C77" s="3" t="s">
        <v>3</v>
      </c>
      <c r="D77" s="3" t="s">
        <v>4</v>
      </c>
      <c r="E77" s="3" t="s">
        <v>5</v>
      </c>
      <c r="F77" s="3" t="s">
        <v>6</v>
      </c>
      <c r="G77" s="3" t="s">
        <v>7</v>
      </c>
      <c r="H77" s="3" t="s">
        <v>8</v>
      </c>
      <c r="I77" s="3" t="s">
        <v>9</v>
      </c>
      <c r="J77" s="3" t="s">
        <v>10</v>
      </c>
      <c r="K77" s="3" t="s">
        <v>11</v>
      </c>
      <c r="L77" s="3" t="s">
        <v>12</v>
      </c>
      <c r="M77" s="3" t="s">
        <v>13</v>
      </c>
      <c r="N77" s="4" t="s">
        <v>14</v>
      </c>
    </row>
    <row r="78" spans="1:14" s="1" customForma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s="1" customFormat="1" x14ac:dyDescent="0.25">
      <c r="A79" s="4" t="s">
        <v>15</v>
      </c>
      <c r="B79" s="5">
        <f>68-30+2</f>
        <v>40</v>
      </c>
      <c r="C79" s="3">
        <v>41</v>
      </c>
      <c r="D79" s="3">
        <v>42</v>
      </c>
      <c r="E79" s="3">
        <v>42</v>
      </c>
      <c r="F79" s="3">
        <v>44</v>
      </c>
      <c r="G79" s="6">
        <v>46</v>
      </c>
      <c r="H79" s="3">
        <v>47</v>
      </c>
      <c r="I79" s="3">
        <v>48</v>
      </c>
      <c r="J79" s="3">
        <v>49</v>
      </c>
      <c r="K79" s="3">
        <v>49</v>
      </c>
      <c r="L79" s="3">
        <v>50</v>
      </c>
      <c r="M79" s="3">
        <v>52</v>
      </c>
      <c r="N79" s="7">
        <f>SUM(B79:M79)/12</f>
        <v>45.833333333333336</v>
      </c>
    </row>
    <row r="80" spans="1:14" s="1" customFormat="1" x14ac:dyDescent="0.25">
      <c r="A80" s="4" t="s">
        <v>16</v>
      </c>
      <c r="B80" s="8">
        <v>1</v>
      </c>
      <c r="C80" s="8">
        <v>1</v>
      </c>
      <c r="D80" s="8">
        <v>1</v>
      </c>
      <c r="E80" s="8">
        <v>1</v>
      </c>
      <c r="F80" s="8">
        <v>1</v>
      </c>
      <c r="G80" s="8">
        <v>1</v>
      </c>
      <c r="H80" s="8">
        <v>1</v>
      </c>
      <c r="I80" s="8">
        <v>1</v>
      </c>
      <c r="J80" s="8">
        <v>1</v>
      </c>
      <c r="K80" s="8">
        <v>1</v>
      </c>
      <c r="L80" s="8">
        <v>1</v>
      </c>
      <c r="M80" s="8">
        <v>1</v>
      </c>
      <c r="N80" s="9">
        <f>SUM(B80:M80)/12</f>
        <v>1</v>
      </c>
    </row>
    <row r="81" spans="1:15" s="1" customFormat="1" x14ac:dyDescent="0.25">
      <c r="A81" s="4" t="s">
        <v>17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9">
        <f>SUM(B81:M81)/12</f>
        <v>0</v>
      </c>
    </row>
    <row r="82" spans="1:15" s="1" customFormat="1" x14ac:dyDescent="0.25">
      <c r="A82" s="4"/>
      <c r="B82" s="10"/>
      <c r="C82" s="10"/>
      <c r="D82" s="10"/>
      <c r="E82" s="10"/>
      <c r="F82" s="10"/>
      <c r="G82" s="10"/>
      <c r="H82" s="8"/>
      <c r="I82" s="10"/>
      <c r="J82" s="10"/>
      <c r="K82" s="10"/>
      <c r="L82" s="10"/>
      <c r="M82" s="10"/>
      <c r="N82" s="11"/>
      <c r="O82" s="12"/>
    </row>
    <row r="83" spans="1:15" s="1" customFormat="1" x14ac:dyDescent="0.25">
      <c r="A83" s="2" t="s">
        <v>51</v>
      </c>
      <c r="B83" s="3">
        <f>B79+(B81*1.5)+(B80*0.8)</f>
        <v>40.799999999999997</v>
      </c>
      <c r="C83" s="3">
        <f>C79+(C81*1.5)+(C80*0.8)</f>
        <v>41.8</v>
      </c>
      <c r="D83" s="3">
        <f>D79+(D81*1.5)+(D80*0.8)</f>
        <v>42.8</v>
      </c>
      <c r="E83" s="3">
        <f>E79+(E81*1.5)+(E80*0.8)</f>
        <v>42.8</v>
      </c>
      <c r="F83" s="3">
        <f>F79+(F81*1.5)+(F80*0.8)</f>
        <v>44.8</v>
      </c>
      <c r="G83" s="3">
        <f t="shared" ref="G83:M83" si="5">G79+(G81*1.5)+(G80*0.8)</f>
        <v>46.8</v>
      </c>
      <c r="H83" s="3">
        <f t="shared" si="5"/>
        <v>47.8</v>
      </c>
      <c r="I83" s="3">
        <f t="shared" si="5"/>
        <v>48.8</v>
      </c>
      <c r="J83" s="3">
        <f t="shared" si="5"/>
        <v>49.8</v>
      </c>
      <c r="K83" s="3">
        <f t="shared" si="5"/>
        <v>49.8</v>
      </c>
      <c r="L83" s="3">
        <f t="shared" si="5"/>
        <v>50.8</v>
      </c>
      <c r="M83" s="3">
        <f t="shared" si="5"/>
        <v>52.8</v>
      </c>
      <c r="N83" s="9">
        <f>SUM(B83:M83)/12</f>
        <v>46.633333333333333</v>
      </c>
    </row>
    <row r="84" spans="1:15" s="1" customFormat="1" x14ac:dyDescent="0.25">
      <c r="A84" s="13" t="s">
        <v>19</v>
      </c>
      <c r="B84" s="14">
        <v>2</v>
      </c>
      <c r="C84" s="15">
        <v>1</v>
      </c>
      <c r="D84" s="15">
        <v>1</v>
      </c>
      <c r="E84" s="15"/>
      <c r="F84" s="15">
        <v>2</v>
      </c>
      <c r="G84" s="15">
        <v>2</v>
      </c>
      <c r="H84" s="15">
        <v>1</v>
      </c>
      <c r="I84" s="15">
        <v>1</v>
      </c>
      <c r="J84" s="15">
        <v>1</v>
      </c>
      <c r="K84" s="15"/>
      <c r="L84" s="15">
        <v>1</v>
      </c>
      <c r="M84" s="15">
        <v>2</v>
      </c>
      <c r="N84" s="16">
        <f>SUM(B84:M84)</f>
        <v>14</v>
      </c>
      <c r="O84" s="15"/>
    </row>
    <row r="85" spans="1:15" x14ac:dyDescent="0.25">
      <c r="B85" s="43" t="s">
        <v>158</v>
      </c>
    </row>
    <row r="87" spans="1:15" x14ac:dyDescent="0.25">
      <c r="A87" s="35" t="s">
        <v>39</v>
      </c>
      <c r="B87" s="72"/>
      <c r="C87" s="72"/>
      <c r="D87" s="7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</row>
    <row r="88" spans="1:15" x14ac:dyDescent="0.25">
      <c r="A88" s="140" t="s">
        <v>50</v>
      </c>
      <c r="B88" s="70" t="s">
        <v>2</v>
      </c>
      <c r="C88" s="70" t="s">
        <v>3</v>
      </c>
      <c r="D88" s="70" t="s">
        <v>4</v>
      </c>
      <c r="E88" s="70" t="s">
        <v>5</v>
      </c>
      <c r="F88" s="70" t="s">
        <v>6</v>
      </c>
      <c r="G88" s="70" t="s">
        <v>7</v>
      </c>
      <c r="H88" s="70" t="s">
        <v>8</v>
      </c>
      <c r="I88" s="70" t="s">
        <v>9</v>
      </c>
      <c r="J88" s="70" t="s">
        <v>10</v>
      </c>
      <c r="K88" s="70" t="s">
        <v>11</v>
      </c>
      <c r="L88" s="70" t="s">
        <v>12</v>
      </c>
      <c r="M88" s="70" t="s">
        <v>13</v>
      </c>
      <c r="N88" s="71" t="s">
        <v>14</v>
      </c>
      <c r="O88" s="62"/>
    </row>
    <row r="89" spans="1:15" x14ac:dyDescent="0.2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62"/>
    </row>
    <row r="90" spans="1:15" x14ac:dyDescent="0.25">
      <c r="A90" s="71" t="s">
        <v>15</v>
      </c>
      <c r="B90" s="28">
        <f>52+2-0.5-0.75</f>
        <v>52.75</v>
      </c>
      <c r="C90" s="54">
        <f>52+1+1</f>
        <v>54</v>
      </c>
      <c r="D90" s="54">
        <v>57</v>
      </c>
      <c r="E90" s="54">
        <v>57</v>
      </c>
      <c r="F90" s="54">
        <f>57+5+0.5</f>
        <v>62.5</v>
      </c>
      <c r="G90" s="215">
        <f>63+3</f>
        <v>66</v>
      </c>
      <c r="H90" s="54">
        <v>67</v>
      </c>
      <c r="I90" s="54">
        <f>67+1+0.75</f>
        <v>68.75</v>
      </c>
      <c r="J90" s="54">
        <v>69</v>
      </c>
      <c r="K90" s="54">
        <v>70</v>
      </c>
      <c r="L90" s="54">
        <v>71</v>
      </c>
      <c r="M90" s="3">
        <v>71</v>
      </c>
      <c r="N90" s="7">
        <f>SUM(B90:M90)/12</f>
        <v>63.833333333333336</v>
      </c>
      <c r="O90" s="62"/>
    </row>
    <row r="91" spans="1:15" x14ac:dyDescent="0.25">
      <c r="A91" s="71" t="s">
        <v>16</v>
      </c>
      <c r="B91" s="29">
        <v>1</v>
      </c>
      <c r="C91" s="29">
        <v>1</v>
      </c>
      <c r="D91" s="29">
        <v>1</v>
      </c>
      <c r="E91" s="29">
        <v>1</v>
      </c>
      <c r="F91" s="29">
        <v>1</v>
      </c>
      <c r="G91" s="29">
        <v>1</v>
      </c>
      <c r="H91" s="29">
        <v>1</v>
      </c>
      <c r="I91" s="29">
        <v>1</v>
      </c>
      <c r="J91" s="29">
        <v>1</v>
      </c>
      <c r="K91" s="29">
        <v>2</v>
      </c>
      <c r="L91" s="29">
        <v>2</v>
      </c>
      <c r="M91" s="8">
        <v>2</v>
      </c>
      <c r="N91" s="9">
        <f>SUM(B91:M91)/12</f>
        <v>1.25</v>
      </c>
      <c r="O91" s="62"/>
    </row>
    <row r="92" spans="1:15" x14ac:dyDescent="0.25">
      <c r="A92" s="71" t="s">
        <v>17</v>
      </c>
      <c r="B92" s="30">
        <v>0.75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10"/>
      <c r="N92" s="9">
        <f>SUM(B92:M92)/12</f>
        <v>6.25E-2</v>
      </c>
      <c r="O92" s="62"/>
    </row>
    <row r="93" spans="1:15" x14ac:dyDescent="0.25">
      <c r="A93" s="71"/>
      <c r="B93" s="10"/>
      <c r="C93" s="10"/>
      <c r="D93" s="10"/>
      <c r="E93" s="10"/>
      <c r="F93" s="10"/>
      <c r="G93" s="10"/>
      <c r="H93" s="8"/>
      <c r="I93" s="10"/>
      <c r="J93" s="10"/>
      <c r="K93" s="10"/>
      <c r="L93" s="10"/>
      <c r="M93" s="10"/>
      <c r="N93" s="11"/>
      <c r="O93" s="63"/>
    </row>
    <row r="94" spans="1:15" x14ac:dyDescent="0.25">
      <c r="A94" s="69" t="s">
        <v>18</v>
      </c>
      <c r="B94" s="3">
        <f>B90+(B92*1.5)+(B91*0.8)</f>
        <v>54.674999999999997</v>
      </c>
      <c r="C94" s="3">
        <f>C90+(C92*1.5)+(C91*0.8)</f>
        <v>54.8</v>
      </c>
      <c r="D94" s="3">
        <f>D90+(D92*1.5)+(D91*0.8)</f>
        <v>57.8</v>
      </c>
      <c r="E94" s="3">
        <f>E90+(E92*1.5)+(E91*0.8)</f>
        <v>57.8</v>
      </c>
      <c r="F94" s="3">
        <f>F90+(F92*1.5)+(F91*0.8)</f>
        <v>63.3</v>
      </c>
      <c r="G94" s="3">
        <f t="shared" ref="G94:M94" si="6">G90+(G92*1.5)+(G91*0.8)</f>
        <v>66.8</v>
      </c>
      <c r="H94" s="3">
        <f t="shared" si="6"/>
        <v>67.8</v>
      </c>
      <c r="I94" s="3">
        <f t="shared" si="6"/>
        <v>69.55</v>
      </c>
      <c r="J94" s="3">
        <f t="shared" si="6"/>
        <v>69.8</v>
      </c>
      <c r="K94" s="3">
        <f t="shared" si="6"/>
        <v>71.599999999999994</v>
      </c>
      <c r="L94" s="3">
        <f t="shared" si="6"/>
        <v>72.599999999999994</v>
      </c>
      <c r="M94" s="3">
        <f t="shared" si="6"/>
        <v>72.599999999999994</v>
      </c>
      <c r="N94" s="9">
        <f>SUM(B94:M94)/12</f>
        <v>64.927083333333343</v>
      </c>
      <c r="O94" s="62"/>
    </row>
    <row r="95" spans="1:15" x14ac:dyDescent="0.25">
      <c r="A95" s="67" t="s">
        <v>19</v>
      </c>
      <c r="B95" s="80">
        <v>3</v>
      </c>
      <c r="C95" s="79">
        <v>1</v>
      </c>
      <c r="D95" s="79">
        <v>3</v>
      </c>
      <c r="E95" s="79">
        <v>0</v>
      </c>
      <c r="F95" s="79">
        <v>6</v>
      </c>
      <c r="G95" s="79">
        <v>3</v>
      </c>
      <c r="H95" s="79">
        <v>1</v>
      </c>
      <c r="I95" s="79">
        <v>2</v>
      </c>
      <c r="J95" s="79">
        <v>0</v>
      </c>
      <c r="K95" s="79">
        <v>2</v>
      </c>
      <c r="L95" s="79">
        <v>1</v>
      </c>
      <c r="M95" s="79">
        <v>0</v>
      </c>
      <c r="N95" s="68">
        <f>SUM(B95:M95)</f>
        <v>22</v>
      </c>
      <c r="O95" s="62"/>
    </row>
    <row r="96" spans="1:15" x14ac:dyDescent="0.25">
      <c r="B96" s="84" t="s">
        <v>61</v>
      </c>
      <c r="C96" s="84"/>
      <c r="D96" s="84"/>
      <c r="E96" s="84"/>
      <c r="F96" s="84" t="s">
        <v>157</v>
      </c>
      <c r="G96" s="84"/>
      <c r="H96" s="84" t="s">
        <v>54</v>
      </c>
      <c r="I96" s="84" t="s">
        <v>243</v>
      </c>
      <c r="J96" s="84"/>
      <c r="K96" s="84" t="s">
        <v>57</v>
      </c>
      <c r="L96" s="84" t="s">
        <v>49</v>
      </c>
      <c r="M96" s="84"/>
    </row>
    <row r="97" spans="2:13" x14ac:dyDescent="0.25">
      <c r="B97" s="84" t="s">
        <v>62</v>
      </c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</row>
    <row r="98" spans="2:13" x14ac:dyDescent="0.25">
      <c r="B98" s="84" t="s">
        <v>60</v>
      </c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</row>
  </sheetData>
  <pageMargins left="0.11811023622047245" right="0.11811023622047245" top="0.35433070866141736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>
      <selection activeCell="P32" sqref="P32"/>
    </sheetView>
  </sheetViews>
  <sheetFormatPr defaultRowHeight="15" x14ac:dyDescent="0.25"/>
  <sheetData>
    <row r="1" spans="1:15" ht="15.75" x14ac:dyDescent="0.25">
      <c r="A1" s="167" t="s">
        <v>99</v>
      </c>
    </row>
    <row r="3" spans="1:15" x14ac:dyDescent="0.25">
      <c r="A3" s="99" t="s">
        <v>309</v>
      </c>
      <c r="B3" s="98"/>
      <c r="C3" s="98"/>
      <c r="D3" s="98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x14ac:dyDescent="0.25">
      <c r="A4" s="90" t="s">
        <v>55</v>
      </c>
      <c r="B4" s="91" t="s">
        <v>2</v>
      </c>
      <c r="C4" s="91" t="s">
        <v>3</v>
      </c>
      <c r="D4" s="91" t="s">
        <v>4</v>
      </c>
      <c r="E4" s="91" t="s">
        <v>5</v>
      </c>
      <c r="F4" s="91" t="s">
        <v>6</v>
      </c>
      <c r="G4" s="91" t="s">
        <v>7</v>
      </c>
      <c r="H4" s="91" t="s">
        <v>8</v>
      </c>
      <c r="I4" s="91" t="s">
        <v>9</v>
      </c>
      <c r="J4" s="91" t="s">
        <v>10</v>
      </c>
      <c r="K4" s="91" t="s">
        <v>11</v>
      </c>
      <c r="L4" s="91" t="s">
        <v>12</v>
      </c>
      <c r="M4" s="91" t="s">
        <v>13</v>
      </c>
      <c r="N4" s="92" t="s">
        <v>14</v>
      </c>
      <c r="O4" s="86"/>
    </row>
    <row r="5" spans="1:15" x14ac:dyDescent="0.2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86"/>
    </row>
    <row r="6" spans="1:15" x14ac:dyDescent="0.25">
      <c r="A6" s="92" t="s">
        <v>15</v>
      </c>
      <c r="B6" s="96">
        <v>23</v>
      </c>
      <c r="C6" s="91">
        <v>24</v>
      </c>
      <c r="D6" s="91">
        <v>25</v>
      </c>
      <c r="E6" s="91">
        <v>27</v>
      </c>
      <c r="F6" s="91">
        <v>27</v>
      </c>
      <c r="G6" s="97">
        <v>27</v>
      </c>
      <c r="H6" s="91">
        <f>27-2</f>
        <v>25</v>
      </c>
      <c r="I6" s="91">
        <v>25</v>
      </c>
      <c r="J6" s="91">
        <v>27</v>
      </c>
      <c r="K6" s="91">
        <v>27</v>
      </c>
      <c r="L6" s="91">
        <v>29</v>
      </c>
      <c r="M6" s="91">
        <v>31</v>
      </c>
      <c r="N6" s="7">
        <f>SUM(B6:M6)/12</f>
        <v>26.416666666666668</v>
      </c>
      <c r="O6" s="86"/>
    </row>
    <row r="7" spans="1:15" x14ac:dyDescent="0.25">
      <c r="A7" s="92" t="s">
        <v>16</v>
      </c>
      <c r="B7" s="93">
        <v>2</v>
      </c>
      <c r="C7" s="93">
        <v>2</v>
      </c>
      <c r="D7" s="93">
        <v>2</v>
      </c>
      <c r="E7" s="93">
        <v>2</v>
      </c>
      <c r="F7" s="93">
        <v>2</v>
      </c>
      <c r="G7" s="93">
        <v>2</v>
      </c>
      <c r="H7" s="93">
        <v>2</v>
      </c>
      <c r="I7" s="93">
        <v>2</v>
      </c>
      <c r="J7" s="93">
        <v>2</v>
      </c>
      <c r="K7" s="93">
        <v>2</v>
      </c>
      <c r="L7" s="93">
        <v>2</v>
      </c>
      <c r="M7" s="93">
        <v>2</v>
      </c>
      <c r="N7" s="9">
        <f>SUM(B7:M7)/12</f>
        <v>2</v>
      </c>
      <c r="O7" s="86"/>
    </row>
    <row r="8" spans="1:15" x14ac:dyDescent="0.25">
      <c r="A8" s="92" t="s">
        <v>17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">
        <f>SUM(B8:M8)/12</f>
        <v>0</v>
      </c>
      <c r="O8" s="86"/>
    </row>
    <row r="9" spans="1:15" x14ac:dyDescent="0.25">
      <c r="A9" s="92"/>
      <c r="B9" s="94"/>
      <c r="C9" s="94"/>
      <c r="D9" s="94"/>
      <c r="E9" s="94"/>
      <c r="F9" s="94"/>
      <c r="G9" s="94"/>
      <c r="H9" s="93"/>
      <c r="I9" s="94"/>
      <c r="J9" s="94"/>
      <c r="K9" s="94"/>
      <c r="L9" s="94"/>
      <c r="M9" s="94"/>
      <c r="N9" s="95"/>
      <c r="O9" s="87"/>
    </row>
    <row r="10" spans="1:15" x14ac:dyDescent="0.25">
      <c r="A10" s="90" t="s">
        <v>51</v>
      </c>
      <c r="B10" s="3">
        <f>B6+(B8*1.5)+(B7*0.8)</f>
        <v>24.6</v>
      </c>
      <c r="C10" s="3">
        <f t="shared" ref="C10:M10" si="0">C6+(C8*1.5)+(C7*0.8)</f>
        <v>25.6</v>
      </c>
      <c r="D10" s="3">
        <f t="shared" si="0"/>
        <v>26.6</v>
      </c>
      <c r="E10" s="3">
        <f t="shared" si="0"/>
        <v>28.6</v>
      </c>
      <c r="F10" s="3">
        <f t="shared" si="0"/>
        <v>28.6</v>
      </c>
      <c r="G10" s="3">
        <f t="shared" si="0"/>
        <v>28.6</v>
      </c>
      <c r="H10" s="3">
        <f t="shared" si="0"/>
        <v>26.6</v>
      </c>
      <c r="I10" s="3">
        <f t="shared" si="0"/>
        <v>26.6</v>
      </c>
      <c r="J10" s="3">
        <f t="shared" si="0"/>
        <v>28.6</v>
      </c>
      <c r="K10" s="3">
        <f t="shared" si="0"/>
        <v>28.6</v>
      </c>
      <c r="L10" s="3">
        <f t="shared" si="0"/>
        <v>30.6</v>
      </c>
      <c r="M10" s="3">
        <f t="shared" si="0"/>
        <v>32.6</v>
      </c>
      <c r="N10" s="9">
        <f>SUM(B10:M10)/12</f>
        <v>28.016666666666669</v>
      </c>
      <c r="O10" s="86"/>
    </row>
    <row r="11" spans="1:15" x14ac:dyDescent="0.25">
      <c r="A11" s="86"/>
      <c r="B11" s="89">
        <v>2</v>
      </c>
      <c r="C11" s="88">
        <v>1</v>
      </c>
      <c r="D11" s="88">
        <v>1</v>
      </c>
      <c r="E11" s="88">
        <v>2</v>
      </c>
      <c r="F11" s="88">
        <v>0</v>
      </c>
      <c r="G11" s="88">
        <v>0</v>
      </c>
      <c r="H11" s="88">
        <v>0</v>
      </c>
      <c r="I11" s="88">
        <v>0</v>
      </c>
      <c r="J11" s="88">
        <v>2</v>
      </c>
      <c r="K11" s="88">
        <v>0</v>
      </c>
      <c r="L11" s="88">
        <v>2</v>
      </c>
      <c r="M11" s="88">
        <v>2</v>
      </c>
      <c r="N11" s="82">
        <f>SUM(B11:M11)</f>
        <v>12</v>
      </c>
      <c r="O11" s="86"/>
    </row>
    <row r="12" spans="1:15" x14ac:dyDescent="0.25">
      <c r="A12" s="137"/>
      <c r="B12" s="139"/>
      <c r="C12" s="138"/>
      <c r="D12" s="138"/>
      <c r="E12" s="138"/>
      <c r="F12" s="138"/>
      <c r="G12" s="138" t="s">
        <v>67</v>
      </c>
      <c r="H12" s="138"/>
      <c r="I12" s="138"/>
      <c r="J12" s="138"/>
      <c r="K12" s="138"/>
      <c r="L12" s="138"/>
      <c r="M12" s="138"/>
      <c r="N12" s="74"/>
      <c r="O12" s="137"/>
    </row>
    <row r="13" spans="1:15" x14ac:dyDescent="0.25">
      <c r="A13" s="221" t="s">
        <v>372</v>
      </c>
      <c r="B13" s="221"/>
      <c r="C13" s="221"/>
      <c r="D13" s="221"/>
    </row>
    <row r="14" spans="1:15" x14ac:dyDescent="0.25">
      <c r="A14" s="140" t="s">
        <v>55</v>
      </c>
      <c r="B14" s="141" t="s">
        <v>2</v>
      </c>
      <c r="C14" s="141" t="s">
        <v>3</v>
      </c>
      <c r="D14" s="141" t="s">
        <v>4</v>
      </c>
      <c r="E14" s="141" t="s">
        <v>5</v>
      </c>
      <c r="F14" s="141" t="s">
        <v>6</v>
      </c>
      <c r="G14" s="141" t="s">
        <v>7</v>
      </c>
      <c r="H14" s="141" t="s">
        <v>8</v>
      </c>
      <c r="I14" s="141" t="s">
        <v>9</v>
      </c>
      <c r="J14" s="141" t="s">
        <v>10</v>
      </c>
      <c r="K14" s="141" t="s">
        <v>11</v>
      </c>
      <c r="L14" s="141" t="s">
        <v>12</v>
      </c>
      <c r="M14" s="141" t="s">
        <v>13</v>
      </c>
      <c r="N14" s="142" t="s">
        <v>14</v>
      </c>
    </row>
    <row r="15" spans="1:15" x14ac:dyDescent="0.2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5" x14ac:dyDescent="0.25">
      <c r="A16" s="142" t="s">
        <v>15</v>
      </c>
      <c r="B16" s="154">
        <f>31+2-10</f>
        <v>23</v>
      </c>
      <c r="C16" s="150">
        <v>24</v>
      </c>
      <c r="D16" s="150">
        <v>25</v>
      </c>
      <c r="E16" s="150">
        <v>27</v>
      </c>
      <c r="F16" s="150">
        <v>27</v>
      </c>
      <c r="G16" s="151">
        <v>27</v>
      </c>
      <c r="H16" s="150">
        <v>28</v>
      </c>
      <c r="I16" s="150">
        <v>28</v>
      </c>
      <c r="J16" s="150">
        <v>29</v>
      </c>
      <c r="K16" s="150">
        <v>30</v>
      </c>
      <c r="L16" s="150">
        <v>32</v>
      </c>
      <c r="M16" s="150">
        <v>33</v>
      </c>
      <c r="N16" s="7">
        <f>SUM(B16:M16)/12</f>
        <v>27.75</v>
      </c>
    </row>
    <row r="17" spans="1:14" x14ac:dyDescent="0.25">
      <c r="A17" s="142" t="s">
        <v>16</v>
      </c>
      <c r="B17" s="40">
        <f>3-1</f>
        <v>2</v>
      </c>
      <c r="C17" s="40">
        <v>2</v>
      </c>
      <c r="D17" s="40">
        <v>2</v>
      </c>
      <c r="E17" s="40">
        <v>2</v>
      </c>
      <c r="F17" s="40">
        <v>2</v>
      </c>
      <c r="G17" s="40">
        <v>2</v>
      </c>
      <c r="H17" s="40">
        <v>2</v>
      </c>
      <c r="I17" s="40">
        <v>2</v>
      </c>
      <c r="J17" s="40">
        <v>2</v>
      </c>
      <c r="K17" s="40">
        <v>2</v>
      </c>
      <c r="L17" s="40">
        <v>2</v>
      </c>
      <c r="M17" s="40">
        <v>2</v>
      </c>
      <c r="N17" s="9">
        <f>SUM(B17:M17)/12</f>
        <v>2</v>
      </c>
    </row>
    <row r="18" spans="1:14" x14ac:dyDescent="0.25">
      <c r="A18" s="142" t="s">
        <v>17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9">
        <f>SUM(B18:M18)/12</f>
        <v>0</v>
      </c>
    </row>
    <row r="19" spans="1:14" x14ac:dyDescent="0.25">
      <c r="A19" s="142"/>
      <c r="B19" s="10"/>
      <c r="C19" s="10"/>
      <c r="D19" s="10"/>
      <c r="E19" s="10"/>
      <c r="F19" s="10"/>
      <c r="G19" s="10"/>
      <c r="H19" s="8"/>
      <c r="I19" s="10"/>
      <c r="J19" s="10"/>
      <c r="K19" s="10"/>
      <c r="L19" s="10"/>
      <c r="M19" s="10"/>
      <c r="N19" s="11"/>
    </row>
    <row r="20" spans="1:14" x14ac:dyDescent="0.25">
      <c r="A20" s="140" t="s">
        <v>51</v>
      </c>
      <c r="B20" s="3">
        <f>B16+(B18*1.5)+(B17*0.8)</f>
        <v>24.6</v>
      </c>
      <c r="C20" s="3">
        <f>C16+(C18*1.5)+(C17*0.8)</f>
        <v>25.6</v>
      </c>
      <c r="D20" s="3">
        <f>D16+(D18*1.5)+(D17*0.8)</f>
        <v>26.6</v>
      </c>
      <c r="E20" s="3">
        <f>E16+(E18*1.5)+(E17*0.8)</f>
        <v>28.6</v>
      </c>
      <c r="F20" s="3">
        <f>F16+(F18*1.5)+(F17*0.8)</f>
        <v>28.6</v>
      </c>
      <c r="G20" s="3">
        <f t="shared" ref="G20:M20" si="1">G16+(G18*1.5)+(G17*0.8)</f>
        <v>28.6</v>
      </c>
      <c r="H20" s="3">
        <f t="shared" si="1"/>
        <v>29.6</v>
      </c>
      <c r="I20" s="3">
        <f t="shared" si="1"/>
        <v>29.6</v>
      </c>
      <c r="J20" s="3">
        <f t="shared" si="1"/>
        <v>30.6</v>
      </c>
      <c r="K20" s="3">
        <f t="shared" si="1"/>
        <v>31.6</v>
      </c>
      <c r="L20" s="3">
        <f t="shared" si="1"/>
        <v>33.6</v>
      </c>
      <c r="M20" s="3">
        <f t="shared" si="1"/>
        <v>34.6</v>
      </c>
      <c r="N20" s="9">
        <f>SUM(B20:M20)/12</f>
        <v>29.350000000000005</v>
      </c>
    </row>
    <row r="21" spans="1:14" x14ac:dyDescent="0.25">
      <c r="A21" s="81" t="s">
        <v>19</v>
      </c>
      <c r="B21" s="80">
        <v>2</v>
      </c>
      <c r="C21" s="79">
        <v>1</v>
      </c>
      <c r="D21" s="79">
        <v>1</v>
      </c>
      <c r="E21" s="79">
        <v>2</v>
      </c>
      <c r="F21" s="79">
        <v>0</v>
      </c>
      <c r="G21" s="79">
        <v>0</v>
      </c>
      <c r="H21" s="79">
        <v>1</v>
      </c>
      <c r="I21" s="79">
        <v>0</v>
      </c>
      <c r="J21" s="79">
        <v>1</v>
      </c>
      <c r="K21" s="79">
        <v>1</v>
      </c>
      <c r="L21" s="79">
        <v>2</v>
      </c>
      <c r="M21" s="79">
        <v>1</v>
      </c>
      <c r="N21" s="82">
        <f>SUM(B21:M21)</f>
        <v>12</v>
      </c>
    </row>
    <row r="22" spans="1:14" x14ac:dyDescent="0.25">
      <c r="B22" s="43" t="s">
        <v>238</v>
      </c>
    </row>
    <row r="23" spans="1:14" x14ac:dyDescent="0.25">
      <c r="B23" s="43" t="s">
        <v>57</v>
      </c>
    </row>
    <row r="24" spans="1:14" x14ac:dyDescent="0.25">
      <c r="B24" s="43"/>
    </row>
    <row r="25" spans="1:14" x14ac:dyDescent="0.25">
      <c r="A25" s="251" t="s">
        <v>373</v>
      </c>
      <c r="B25" s="251"/>
      <c r="C25" s="251"/>
      <c r="D25" s="251"/>
    </row>
    <row r="26" spans="1:14" x14ac:dyDescent="0.25">
      <c r="A26" s="140" t="s">
        <v>55</v>
      </c>
      <c r="B26" s="141" t="s">
        <v>2</v>
      </c>
      <c r="C26" s="141" t="s">
        <v>3</v>
      </c>
      <c r="D26" s="141" t="s">
        <v>4</v>
      </c>
      <c r="E26" s="141" t="s">
        <v>5</v>
      </c>
      <c r="F26" s="141" t="s">
        <v>6</v>
      </c>
      <c r="G26" s="141" t="s">
        <v>7</v>
      </c>
      <c r="H26" s="141" t="s">
        <v>8</v>
      </c>
      <c r="I26" s="141" t="s">
        <v>9</v>
      </c>
      <c r="J26" s="141" t="s">
        <v>10</v>
      </c>
      <c r="K26" s="141" t="s">
        <v>11</v>
      </c>
      <c r="L26" s="141" t="s">
        <v>12</v>
      </c>
      <c r="M26" s="141" t="s">
        <v>13</v>
      </c>
      <c r="N26" s="142" t="s">
        <v>14</v>
      </c>
    </row>
    <row r="27" spans="1:14" x14ac:dyDescent="0.2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</row>
    <row r="28" spans="1:14" x14ac:dyDescent="0.25">
      <c r="A28" s="142" t="s">
        <v>15</v>
      </c>
      <c r="B28" s="154">
        <f>31-10</f>
        <v>21</v>
      </c>
      <c r="C28" s="150">
        <v>24</v>
      </c>
      <c r="D28" s="150">
        <v>25</v>
      </c>
      <c r="E28" s="150">
        <v>25</v>
      </c>
      <c r="F28" s="150">
        <v>26</v>
      </c>
      <c r="G28" s="151">
        <v>27</v>
      </c>
      <c r="H28" s="150">
        <v>27</v>
      </c>
      <c r="I28" s="150">
        <v>27</v>
      </c>
      <c r="J28" s="150">
        <v>27</v>
      </c>
      <c r="K28" s="150">
        <v>28</v>
      </c>
      <c r="L28" s="150">
        <v>29</v>
      </c>
      <c r="M28" s="150">
        <v>29</v>
      </c>
      <c r="N28" s="7">
        <f>SUM(B28:M28)/12</f>
        <v>26.25</v>
      </c>
    </row>
    <row r="29" spans="1:14" x14ac:dyDescent="0.25">
      <c r="A29" s="142" t="s">
        <v>16</v>
      </c>
      <c r="B29" s="40">
        <v>2</v>
      </c>
      <c r="C29" s="40">
        <v>2</v>
      </c>
      <c r="D29" s="40">
        <v>2</v>
      </c>
      <c r="E29" s="40">
        <v>2</v>
      </c>
      <c r="F29" s="40">
        <v>2</v>
      </c>
      <c r="G29" s="40">
        <v>2</v>
      </c>
      <c r="H29" s="40">
        <v>2</v>
      </c>
      <c r="I29" s="40">
        <v>2</v>
      </c>
      <c r="J29" s="40">
        <v>2</v>
      </c>
      <c r="K29" s="40">
        <v>2</v>
      </c>
      <c r="L29" s="40">
        <v>2</v>
      </c>
      <c r="M29" s="40">
        <v>2</v>
      </c>
      <c r="N29" s="9">
        <f>SUM(B29:M29)/12</f>
        <v>2</v>
      </c>
    </row>
    <row r="30" spans="1:14" x14ac:dyDescent="0.25">
      <c r="A30" s="142" t="s">
        <v>17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9">
        <f>SUM(B30:M30)/12</f>
        <v>0</v>
      </c>
    </row>
    <row r="31" spans="1:14" x14ac:dyDescent="0.25">
      <c r="A31" s="142"/>
      <c r="B31" s="10"/>
      <c r="C31" s="10"/>
      <c r="D31" s="10"/>
      <c r="E31" s="10"/>
      <c r="F31" s="10"/>
      <c r="G31" s="10"/>
      <c r="H31" s="8"/>
      <c r="I31" s="10"/>
      <c r="J31" s="10"/>
      <c r="K31" s="10"/>
      <c r="L31" s="10"/>
      <c r="M31" s="10"/>
      <c r="N31" s="11"/>
    </row>
    <row r="32" spans="1:14" x14ac:dyDescent="0.25">
      <c r="A32" s="140" t="s">
        <v>269</v>
      </c>
      <c r="B32" s="3">
        <f>B28+(B30*1.5)+(B29*0.8)</f>
        <v>22.6</v>
      </c>
      <c r="C32" s="3">
        <f>C28+(C30*1.5)+(C29*0.8)</f>
        <v>25.6</v>
      </c>
      <c r="D32" s="3">
        <f>D28+(D30*1.5)+(D29*0.8)</f>
        <v>26.6</v>
      </c>
      <c r="E32" s="3">
        <f>E28+(E30*1.5)+(E29*0.8)</f>
        <v>26.6</v>
      </c>
      <c r="F32" s="3">
        <f>F28+(F30*1.5)+(F29*0.8)</f>
        <v>27.6</v>
      </c>
      <c r="G32" s="3">
        <f t="shared" ref="G32:M32" si="2">G28+(G30*1.5)+(G29*0.8)</f>
        <v>28.6</v>
      </c>
      <c r="H32" s="3">
        <f t="shared" si="2"/>
        <v>28.6</v>
      </c>
      <c r="I32" s="3">
        <f t="shared" si="2"/>
        <v>28.6</v>
      </c>
      <c r="J32" s="3">
        <f t="shared" si="2"/>
        <v>28.6</v>
      </c>
      <c r="K32" s="3">
        <f t="shared" si="2"/>
        <v>29.6</v>
      </c>
      <c r="L32" s="3">
        <f t="shared" si="2"/>
        <v>30.6</v>
      </c>
      <c r="M32" s="3">
        <f t="shared" si="2"/>
        <v>30.6</v>
      </c>
      <c r="N32" s="9">
        <f>SUM(B32:M32)/12</f>
        <v>27.850000000000005</v>
      </c>
    </row>
    <row r="33" spans="1:14" x14ac:dyDescent="0.25">
      <c r="A33" s="81" t="s">
        <v>19</v>
      </c>
      <c r="B33" s="80">
        <v>0</v>
      </c>
      <c r="C33" s="79">
        <v>3</v>
      </c>
      <c r="D33" s="79">
        <v>1</v>
      </c>
      <c r="E33" s="79">
        <v>0</v>
      </c>
      <c r="F33" s="79">
        <v>1</v>
      </c>
      <c r="G33" s="79">
        <v>1</v>
      </c>
      <c r="H33" s="79">
        <v>0</v>
      </c>
      <c r="I33" s="79">
        <v>0</v>
      </c>
      <c r="J33" s="79">
        <v>0</v>
      </c>
      <c r="K33" s="79">
        <v>1</v>
      </c>
      <c r="L33" s="79">
        <v>1</v>
      </c>
      <c r="M33" s="79">
        <v>0</v>
      </c>
      <c r="N33" s="82">
        <f>SUM(B33:M33)</f>
        <v>8</v>
      </c>
    </row>
    <row r="34" spans="1:14" x14ac:dyDescent="0.25">
      <c r="B34" s="43" t="s">
        <v>88</v>
      </c>
    </row>
    <row r="35" spans="1:14" x14ac:dyDescent="0.25">
      <c r="B35" s="43"/>
    </row>
    <row r="36" spans="1:14" x14ac:dyDescent="0.25">
      <c r="B36" s="43"/>
    </row>
    <row r="38" spans="1:14" x14ac:dyDescent="0.25">
      <c r="A38" s="229" t="s">
        <v>235</v>
      </c>
      <c r="B38" s="229"/>
      <c r="C38" s="229"/>
      <c r="D38" s="229"/>
    </row>
    <row r="39" spans="1:14" x14ac:dyDescent="0.25">
      <c r="A39" s="140" t="s">
        <v>55</v>
      </c>
      <c r="B39" s="141" t="s">
        <v>2</v>
      </c>
      <c r="C39" s="141" t="s">
        <v>3</v>
      </c>
      <c r="D39" s="141" t="s">
        <v>4</v>
      </c>
      <c r="E39" s="141" t="s">
        <v>5</v>
      </c>
      <c r="F39" s="141" t="s">
        <v>6</v>
      </c>
      <c r="G39" s="141" t="s">
        <v>7</v>
      </c>
      <c r="H39" s="141" t="s">
        <v>8</v>
      </c>
      <c r="I39" s="141" t="s">
        <v>9</v>
      </c>
      <c r="J39" s="141" t="s">
        <v>10</v>
      </c>
      <c r="K39" s="141" t="s">
        <v>11</v>
      </c>
      <c r="L39" s="141" t="s">
        <v>12</v>
      </c>
      <c r="M39" s="141" t="s">
        <v>13</v>
      </c>
      <c r="N39" s="142" t="s">
        <v>14</v>
      </c>
    </row>
    <row r="40" spans="1:14" x14ac:dyDescent="0.25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</row>
    <row r="41" spans="1:14" x14ac:dyDescent="0.25">
      <c r="A41" s="142" t="s">
        <v>15</v>
      </c>
      <c r="B41" s="154">
        <f>31-10+2</f>
        <v>23</v>
      </c>
      <c r="C41" s="150">
        <v>24</v>
      </c>
      <c r="D41" s="150">
        <v>25</v>
      </c>
      <c r="E41" s="150">
        <v>27</v>
      </c>
      <c r="F41" s="150">
        <v>27</v>
      </c>
      <c r="G41" s="151">
        <v>27</v>
      </c>
      <c r="H41" s="150">
        <v>28</v>
      </c>
      <c r="I41" s="150">
        <v>28</v>
      </c>
      <c r="J41" s="150">
        <v>29</v>
      </c>
      <c r="K41" s="150">
        <v>30</v>
      </c>
      <c r="L41" s="150">
        <v>32</v>
      </c>
      <c r="M41" s="150">
        <v>33</v>
      </c>
      <c r="N41" s="7">
        <f>SUM(B41:M41)/12</f>
        <v>27.75</v>
      </c>
    </row>
    <row r="42" spans="1:14" x14ac:dyDescent="0.25">
      <c r="A42" s="142" t="s">
        <v>16</v>
      </c>
      <c r="B42" s="40">
        <f>3-1</f>
        <v>2</v>
      </c>
      <c r="C42" s="40">
        <v>2</v>
      </c>
      <c r="D42" s="40">
        <v>2</v>
      </c>
      <c r="E42" s="40">
        <v>2</v>
      </c>
      <c r="F42" s="40">
        <v>2</v>
      </c>
      <c r="G42" s="40">
        <v>2</v>
      </c>
      <c r="H42" s="40">
        <v>2</v>
      </c>
      <c r="I42" s="40">
        <v>2</v>
      </c>
      <c r="J42" s="40">
        <v>2</v>
      </c>
      <c r="K42" s="40">
        <v>2</v>
      </c>
      <c r="L42" s="40">
        <v>2</v>
      </c>
      <c r="M42" s="40">
        <v>2</v>
      </c>
      <c r="N42" s="9">
        <f>SUM(B42:M42)/12</f>
        <v>2</v>
      </c>
    </row>
    <row r="43" spans="1:14" x14ac:dyDescent="0.25">
      <c r="A43" s="142" t="s">
        <v>17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9">
        <f>SUM(B43:M43)/12</f>
        <v>0</v>
      </c>
    </row>
    <row r="44" spans="1:14" x14ac:dyDescent="0.25">
      <c r="A44" s="142"/>
      <c r="B44" s="10"/>
      <c r="C44" s="10"/>
      <c r="D44" s="10"/>
      <c r="E44" s="10"/>
      <c r="F44" s="10"/>
      <c r="G44" s="10"/>
      <c r="H44" s="8"/>
      <c r="I44" s="10"/>
      <c r="J44" s="10"/>
      <c r="K44" s="10"/>
      <c r="L44" s="10"/>
      <c r="M44" s="10"/>
      <c r="N44" s="11"/>
    </row>
    <row r="45" spans="1:14" x14ac:dyDescent="0.25">
      <c r="A45" s="140" t="s">
        <v>51</v>
      </c>
      <c r="B45" s="3">
        <f>B41+(B43*1.5)+(B42*0.8)</f>
        <v>24.6</v>
      </c>
      <c r="C45" s="3">
        <f>C41+(C43*1.5)+(C42*0.8)</f>
        <v>25.6</v>
      </c>
      <c r="D45" s="3">
        <f>D41+(D43*1.5)+(D42*0.8)</f>
        <v>26.6</v>
      </c>
      <c r="E45" s="3">
        <f>E41+(E43*1.5)+(E42*0.8)</f>
        <v>28.6</v>
      </c>
      <c r="F45" s="3">
        <f>F41+(F43*1.5)+(F42*0.8)</f>
        <v>28.6</v>
      </c>
      <c r="G45" s="3">
        <f t="shared" ref="G45:M45" si="3">G41+(G43*1.5)+(G42*0.8)</f>
        <v>28.6</v>
      </c>
      <c r="H45" s="3">
        <f t="shared" si="3"/>
        <v>29.6</v>
      </c>
      <c r="I45" s="3">
        <f t="shared" si="3"/>
        <v>29.6</v>
      </c>
      <c r="J45" s="3">
        <f t="shared" si="3"/>
        <v>30.6</v>
      </c>
      <c r="K45" s="3">
        <f t="shared" si="3"/>
        <v>31.6</v>
      </c>
      <c r="L45" s="3">
        <f t="shared" si="3"/>
        <v>33.6</v>
      </c>
      <c r="M45" s="3">
        <f t="shared" si="3"/>
        <v>34.6</v>
      </c>
      <c r="N45" s="9">
        <f>SUM(B45:M45)/12</f>
        <v>29.350000000000005</v>
      </c>
    </row>
    <row r="46" spans="1:14" x14ac:dyDescent="0.25">
      <c r="A46" s="81" t="s">
        <v>19</v>
      </c>
      <c r="B46" s="80">
        <v>2</v>
      </c>
      <c r="C46" s="79">
        <v>1</v>
      </c>
      <c r="D46" s="79">
        <v>1</v>
      </c>
      <c r="E46" s="79">
        <v>2</v>
      </c>
      <c r="F46" s="79">
        <v>0</v>
      </c>
      <c r="G46" s="79">
        <v>0</v>
      </c>
      <c r="H46" s="79">
        <v>1</v>
      </c>
      <c r="I46" s="79">
        <v>0</v>
      </c>
      <c r="J46" s="79">
        <v>1</v>
      </c>
      <c r="K46" s="79">
        <v>1</v>
      </c>
      <c r="L46" s="79">
        <v>2</v>
      </c>
      <c r="M46" s="79">
        <v>1</v>
      </c>
      <c r="N46" s="82">
        <f>SUM(B46:M46)</f>
        <v>12</v>
      </c>
    </row>
    <row r="47" spans="1:14" x14ac:dyDescent="0.25">
      <c r="B47" s="43" t="s">
        <v>238</v>
      </c>
    </row>
    <row r="48" spans="1:14" x14ac:dyDescent="0.25">
      <c r="B48" s="43" t="s">
        <v>57</v>
      </c>
    </row>
    <row r="49" spans="1:14" x14ac:dyDescent="0.25">
      <c r="A49" s="189" t="s">
        <v>159</v>
      </c>
      <c r="B49" s="189"/>
      <c r="C49" s="189"/>
      <c r="D49" s="189"/>
    </row>
    <row r="50" spans="1:14" x14ac:dyDescent="0.25">
      <c r="A50" s="140" t="s">
        <v>55</v>
      </c>
      <c r="B50" s="141" t="s">
        <v>2</v>
      </c>
      <c r="C50" s="141" t="s">
        <v>3</v>
      </c>
      <c r="D50" s="141" t="s">
        <v>4</v>
      </c>
      <c r="E50" s="141" t="s">
        <v>5</v>
      </c>
      <c r="F50" s="141" t="s">
        <v>6</v>
      </c>
      <c r="G50" s="141" t="s">
        <v>7</v>
      </c>
      <c r="H50" s="141" t="s">
        <v>8</v>
      </c>
      <c r="I50" s="141" t="s">
        <v>9</v>
      </c>
      <c r="J50" s="141" t="s">
        <v>10</v>
      </c>
      <c r="K50" s="141" t="s">
        <v>11</v>
      </c>
      <c r="L50" s="141" t="s">
        <v>12</v>
      </c>
      <c r="M50" s="141" t="s">
        <v>13</v>
      </c>
      <c r="N50" s="142" t="s">
        <v>14</v>
      </c>
    </row>
    <row r="51" spans="1:14" x14ac:dyDescent="0.25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</row>
    <row r="52" spans="1:14" x14ac:dyDescent="0.25">
      <c r="A52" s="142" t="s">
        <v>15</v>
      </c>
      <c r="B52" s="154">
        <f>31-11+1</f>
        <v>21</v>
      </c>
      <c r="C52" s="150">
        <v>22</v>
      </c>
      <c r="D52" s="150">
        <v>23</v>
      </c>
      <c r="E52" s="150">
        <v>25</v>
      </c>
      <c r="F52" s="150">
        <v>25</v>
      </c>
      <c r="G52" s="151">
        <v>25</v>
      </c>
      <c r="H52" s="150">
        <v>26</v>
      </c>
      <c r="I52" s="150">
        <v>26</v>
      </c>
      <c r="J52" s="150">
        <v>26</v>
      </c>
      <c r="K52" s="150">
        <v>27</v>
      </c>
      <c r="L52" s="150">
        <v>29</v>
      </c>
      <c r="M52" s="150">
        <v>30</v>
      </c>
      <c r="N52" s="7">
        <f>SUM(B52:M52)/12</f>
        <v>25.416666666666668</v>
      </c>
    </row>
    <row r="53" spans="1:14" x14ac:dyDescent="0.25">
      <c r="A53" s="142" t="s">
        <v>16</v>
      </c>
      <c r="B53" s="40">
        <f>4-1</f>
        <v>3</v>
      </c>
      <c r="C53" s="40">
        <v>3</v>
      </c>
      <c r="D53" s="40">
        <v>3</v>
      </c>
      <c r="E53" s="40">
        <v>3</v>
      </c>
      <c r="F53" s="40">
        <v>3</v>
      </c>
      <c r="G53" s="40">
        <v>3</v>
      </c>
      <c r="H53" s="40">
        <v>3</v>
      </c>
      <c r="I53" s="40">
        <v>3</v>
      </c>
      <c r="J53" s="40">
        <v>3</v>
      </c>
      <c r="K53" s="40">
        <v>3</v>
      </c>
      <c r="L53" s="40">
        <v>3</v>
      </c>
      <c r="M53" s="40">
        <v>3</v>
      </c>
      <c r="N53" s="9">
        <f>SUM(B53:M53)/12</f>
        <v>3</v>
      </c>
    </row>
    <row r="54" spans="1:14" x14ac:dyDescent="0.25">
      <c r="A54" s="142" t="s">
        <v>17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9">
        <f>SUM(B54:M54)/12</f>
        <v>0</v>
      </c>
    </row>
    <row r="55" spans="1:14" x14ac:dyDescent="0.25">
      <c r="A55" s="142"/>
      <c r="B55" s="10"/>
      <c r="C55" s="10"/>
      <c r="D55" s="10"/>
      <c r="E55" s="10"/>
      <c r="F55" s="10"/>
      <c r="G55" s="10"/>
      <c r="H55" s="8"/>
      <c r="I55" s="10"/>
      <c r="J55" s="10"/>
      <c r="K55" s="10"/>
      <c r="L55" s="10"/>
      <c r="M55" s="10"/>
      <c r="N55" s="11"/>
    </row>
    <row r="56" spans="1:14" x14ac:dyDescent="0.25">
      <c r="A56" s="140" t="s">
        <v>51</v>
      </c>
      <c r="B56" s="3">
        <f>B52+(B54*1.5)+(B53*0.8)</f>
        <v>23.4</v>
      </c>
      <c r="C56" s="3">
        <f>C52+(C54*1.5)+(C53*0.8)</f>
        <v>24.4</v>
      </c>
      <c r="D56" s="3">
        <f>D52+(D54*1.5)+(D53*0.8)</f>
        <v>25.4</v>
      </c>
      <c r="E56" s="3">
        <f>E52+(E54*1.5)+(E53*0.8)</f>
        <v>27.4</v>
      </c>
      <c r="F56" s="3">
        <f>F52+(F54*1.5)+(F53*0.8)</f>
        <v>27.4</v>
      </c>
      <c r="G56" s="3">
        <f t="shared" ref="G56:M56" si="4">G52+(G54*1.5)+(G53*0.8)</f>
        <v>27.4</v>
      </c>
      <c r="H56" s="3">
        <f t="shared" si="4"/>
        <v>28.4</v>
      </c>
      <c r="I56" s="3">
        <f t="shared" si="4"/>
        <v>28.4</v>
      </c>
      <c r="J56" s="3">
        <f t="shared" si="4"/>
        <v>28.4</v>
      </c>
      <c r="K56" s="3">
        <f t="shared" si="4"/>
        <v>29.4</v>
      </c>
      <c r="L56" s="3">
        <f t="shared" si="4"/>
        <v>31.4</v>
      </c>
      <c r="M56" s="3">
        <f t="shared" si="4"/>
        <v>32.4</v>
      </c>
      <c r="N56" s="9">
        <f>SUM(B56:M56)/12</f>
        <v>27.816666666666663</v>
      </c>
    </row>
    <row r="57" spans="1:14" x14ac:dyDescent="0.25">
      <c r="A57" s="81" t="s">
        <v>19</v>
      </c>
      <c r="B57" s="80">
        <v>1</v>
      </c>
      <c r="C57" s="79">
        <v>1</v>
      </c>
      <c r="D57" s="79">
        <v>1</v>
      </c>
      <c r="E57" s="79">
        <v>2</v>
      </c>
      <c r="F57" s="79">
        <v>0</v>
      </c>
      <c r="G57" s="79">
        <v>0</v>
      </c>
      <c r="H57" s="79">
        <v>1</v>
      </c>
      <c r="I57" s="79">
        <v>0</v>
      </c>
      <c r="J57" s="79">
        <v>0</v>
      </c>
      <c r="K57" s="79">
        <v>1</v>
      </c>
      <c r="L57" s="79">
        <v>2</v>
      </c>
      <c r="M57" s="79">
        <v>1</v>
      </c>
      <c r="N57" s="82">
        <f>SUM(B57:M57)</f>
        <v>10</v>
      </c>
    </row>
    <row r="59" spans="1:14" x14ac:dyDescent="0.25">
      <c r="A59" s="189" t="s">
        <v>107</v>
      </c>
      <c r="B59" s="189"/>
      <c r="C59" s="189"/>
      <c r="D59" s="189"/>
    </row>
    <row r="60" spans="1:14" x14ac:dyDescent="0.25">
      <c r="A60" s="140" t="s">
        <v>55</v>
      </c>
      <c r="B60" s="141" t="s">
        <v>2</v>
      </c>
      <c r="C60" s="141" t="s">
        <v>3</v>
      </c>
      <c r="D60" s="141" t="s">
        <v>4</v>
      </c>
      <c r="E60" s="141" t="s">
        <v>5</v>
      </c>
      <c r="F60" s="141" t="s">
        <v>6</v>
      </c>
      <c r="G60" s="141" t="s">
        <v>7</v>
      </c>
      <c r="H60" s="141" t="s">
        <v>8</v>
      </c>
      <c r="I60" s="141" t="s">
        <v>9</v>
      </c>
      <c r="J60" s="141" t="s">
        <v>10</v>
      </c>
      <c r="K60" s="141" t="s">
        <v>11</v>
      </c>
      <c r="L60" s="141" t="s">
        <v>12</v>
      </c>
      <c r="M60" s="141" t="s">
        <v>13</v>
      </c>
      <c r="N60" s="142" t="s">
        <v>14</v>
      </c>
    </row>
    <row r="61" spans="1:14" x14ac:dyDescent="0.2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</row>
    <row r="62" spans="1:14" x14ac:dyDescent="0.25">
      <c r="A62" s="142" t="s">
        <v>15</v>
      </c>
      <c r="B62" s="154">
        <f>33-2-11+1</f>
        <v>21</v>
      </c>
      <c r="C62" s="150">
        <v>22</v>
      </c>
      <c r="D62" s="150">
        <v>23</v>
      </c>
      <c r="E62" s="150">
        <v>25</v>
      </c>
      <c r="F62" s="150">
        <v>25</v>
      </c>
      <c r="G62" s="151">
        <v>25</v>
      </c>
      <c r="H62" s="150">
        <v>26</v>
      </c>
      <c r="I62" s="150">
        <v>26</v>
      </c>
      <c r="J62" s="150">
        <v>26</v>
      </c>
      <c r="K62" s="150">
        <v>27</v>
      </c>
      <c r="L62" s="150">
        <v>29</v>
      </c>
      <c r="M62" s="150">
        <v>29</v>
      </c>
      <c r="N62" s="7">
        <f>SUM(B62:M62)/12</f>
        <v>25.333333333333332</v>
      </c>
    </row>
    <row r="63" spans="1:14" x14ac:dyDescent="0.25">
      <c r="A63" s="142" t="s">
        <v>16</v>
      </c>
      <c r="B63" s="40">
        <f>4-1</f>
        <v>3</v>
      </c>
      <c r="C63" s="40">
        <v>3</v>
      </c>
      <c r="D63" s="40">
        <v>3</v>
      </c>
      <c r="E63" s="40">
        <v>3</v>
      </c>
      <c r="F63" s="40">
        <v>3</v>
      </c>
      <c r="G63" s="40">
        <v>3</v>
      </c>
      <c r="H63" s="40">
        <v>3</v>
      </c>
      <c r="I63" s="40">
        <v>3</v>
      </c>
      <c r="J63" s="40">
        <v>3</v>
      </c>
      <c r="K63" s="40">
        <v>3</v>
      </c>
      <c r="L63" s="40">
        <v>3</v>
      </c>
      <c r="M63" s="40">
        <v>3</v>
      </c>
      <c r="N63" s="9">
        <f>SUM(B63:M63)/12</f>
        <v>3</v>
      </c>
    </row>
    <row r="64" spans="1:14" x14ac:dyDescent="0.25">
      <c r="A64" s="142" t="s">
        <v>17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9">
        <f>SUM(B64:M64)/12</f>
        <v>0</v>
      </c>
    </row>
    <row r="65" spans="1:14" x14ac:dyDescent="0.25">
      <c r="A65" s="142"/>
      <c r="B65" s="10"/>
      <c r="C65" s="10"/>
      <c r="D65" s="10"/>
      <c r="E65" s="10"/>
      <c r="F65" s="10"/>
      <c r="G65" s="10"/>
      <c r="H65" s="8"/>
      <c r="I65" s="10"/>
      <c r="J65" s="10"/>
      <c r="K65" s="10"/>
      <c r="L65" s="10"/>
      <c r="M65" s="10"/>
      <c r="N65" s="11"/>
    </row>
    <row r="66" spans="1:14" x14ac:dyDescent="0.25">
      <c r="A66" s="140" t="s">
        <v>51</v>
      </c>
      <c r="B66" s="3">
        <f>B62+(B64*1.5)+(B63*0.8)</f>
        <v>23.4</v>
      </c>
      <c r="C66" s="3">
        <f>C62+(C64*1.5)+(C63*0.8)</f>
        <v>24.4</v>
      </c>
      <c r="D66" s="3">
        <f>D62+(D64*1.5)+(D63*0.8)</f>
        <v>25.4</v>
      </c>
      <c r="E66" s="3">
        <f>E62+(E64*1.5)+(E63*0.8)</f>
        <v>27.4</v>
      </c>
      <c r="F66" s="3">
        <f>F62+(F64*1.5)+(F63*0.8)</f>
        <v>27.4</v>
      </c>
      <c r="G66" s="3">
        <f t="shared" ref="G66:M66" si="5">G62+(G64*1.5)+(G63*0.8)</f>
        <v>27.4</v>
      </c>
      <c r="H66" s="3">
        <f t="shared" si="5"/>
        <v>28.4</v>
      </c>
      <c r="I66" s="3">
        <f t="shared" si="5"/>
        <v>28.4</v>
      </c>
      <c r="J66" s="3">
        <f t="shared" si="5"/>
        <v>28.4</v>
      </c>
      <c r="K66" s="3">
        <f t="shared" si="5"/>
        <v>29.4</v>
      </c>
      <c r="L66" s="3">
        <f t="shared" si="5"/>
        <v>31.4</v>
      </c>
      <c r="M66" s="3">
        <f t="shared" si="5"/>
        <v>31.4</v>
      </c>
      <c r="N66" s="9">
        <f>SUM(B66:M66)/12</f>
        <v>27.733333333333331</v>
      </c>
    </row>
    <row r="67" spans="1:14" x14ac:dyDescent="0.25">
      <c r="A67" s="81" t="s">
        <v>19</v>
      </c>
      <c r="B67" s="80">
        <v>1</v>
      </c>
      <c r="C67" s="79">
        <v>1</v>
      </c>
      <c r="D67" s="79">
        <v>1</v>
      </c>
      <c r="E67" s="79">
        <v>2</v>
      </c>
      <c r="F67" s="79">
        <v>0</v>
      </c>
      <c r="G67" s="79">
        <v>0</v>
      </c>
      <c r="H67" s="79">
        <v>1</v>
      </c>
      <c r="I67" s="79">
        <v>0</v>
      </c>
      <c r="J67" s="79">
        <v>0</v>
      </c>
      <c r="K67" s="79">
        <v>1</v>
      </c>
      <c r="L67" s="79">
        <v>2</v>
      </c>
      <c r="M67" s="79">
        <v>0</v>
      </c>
      <c r="N67" s="82">
        <v>7</v>
      </c>
    </row>
    <row r="68" spans="1:14" x14ac:dyDescent="0.25">
      <c r="B68" s="50" t="s">
        <v>91</v>
      </c>
      <c r="C68" s="50"/>
    </row>
    <row r="69" spans="1:14" x14ac:dyDescent="0.25">
      <c r="B69" s="50" t="s">
        <v>57</v>
      </c>
      <c r="C69" s="169"/>
      <c r="D69" s="23"/>
      <c r="E69" s="23"/>
      <c r="F69" s="23"/>
      <c r="G69" s="181"/>
      <c r="H69" s="181"/>
      <c r="I69" s="181"/>
      <c r="J69" s="181"/>
      <c r="K69" s="181"/>
      <c r="L69" s="181"/>
      <c r="M69" s="181"/>
    </row>
    <row r="71" spans="1:14" x14ac:dyDescent="0.25">
      <c r="B71" t="s">
        <v>119</v>
      </c>
    </row>
    <row r="72" spans="1:14" x14ac:dyDescent="0.25">
      <c r="B72" t="s">
        <v>110</v>
      </c>
    </row>
    <row r="74" spans="1:14" x14ac:dyDescent="0.25">
      <c r="A74" s="189" t="s">
        <v>111</v>
      </c>
      <c r="B74" s="189"/>
      <c r="C74" s="189"/>
      <c r="D74" s="189"/>
    </row>
    <row r="75" spans="1:14" x14ac:dyDescent="0.25">
      <c r="A75" s="140" t="s">
        <v>55</v>
      </c>
      <c r="B75" s="141" t="s">
        <v>2</v>
      </c>
      <c r="C75" s="141" t="s">
        <v>3</v>
      </c>
      <c r="D75" s="141" t="s">
        <v>4</v>
      </c>
      <c r="E75" s="141" t="s">
        <v>5</v>
      </c>
      <c r="F75" s="141" t="s">
        <v>6</v>
      </c>
      <c r="G75" s="141" t="s">
        <v>7</v>
      </c>
      <c r="H75" s="141" t="s">
        <v>8</v>
      </c>
      <c r="I75" s="141" t="s">
        <v>9</v>
      </c>
      <c r="J75" s="141" t="s">
        <v>10</v>
      </c>
      <c r="K75" s="141" t="s">
        <v>11</v>
      </c>
      <c r="L75" s="141" t="s">
        <v>12</v>
      </c>
      <c r="M75" s="141" t="s">
        <v>13</v>
      </c>
      <c r="N75" s="142" t="s">
        <v>14</v>
      </c>
    </row>
    <row r="76" spans="1:14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</row>
    <row r="77" spans="1:14" x14ac:dyDescent="0.25">
      <c r="A77" s="142" t="s">
        <v>15</v>
      </c>
      <c r="B77" s="154">
        <f>31-11+1+2</f>
        <v>23</v>
      </c>
      <c r="C77" s="150">
        <v>25</v>
      </c>
      <c r="D77" s="150">
        <v>29</v>
      </c>
      <c r="E77" s="150">
        <v>31</v>
      </c>
      <c r="F77" s="150">
        <v>31</v>
      </c>
      <c r="G77" s="151">
        <v>31</v>
      </c>
      <c r="H77" s="150">
        <v>33</v>
      </c>
      <c r="I77" s="150">
        <v>34</v>
      </c>
      <c r="J77" s="150">
        <v>36</v>
      </c>
      <c r="K77" s="150">
        <v>38</v>
      </c>
      <c r="L77" s="150">
        <v>40</v>
      </c>
      <c r="M77" s="150">
        <v>44</v>
      </c>
      <c r="N77" s="7">
        <f>SUM(B77:M77)/12</f>
        <v>32.916666666666664</v>
      </c>
    </row>
    <row r="78" spans="1:14" x14ac:dyDescent="0.25">
      <c r="A78" s="142" t="s">
        <v>16</v>
      </c>
      <c r="B78" s="40">
        <f>4-1</f>
        <v>3</v>
      </c>
      <c r="C78" s="40">
        <v>3</v>
      </c>
      <c r="D78" s="40">
        <v>3</v>
      </c>
      <c r="E78" s="40">
        <v>3</v>
      </c>
      <c r="F78" s="40">
        <v>3</v>
      </c>
      <c r="G78" s="40">
        <v>3</v>
      </c>
      <c r="H78" s="40">
        <v>3</v>
      </c>
      <c r="I78" s="40">
        <v>3</v>
      </c>
      <c r="J78" s="40">
        <v>3</v>
      </c>
      <c r="K78" s="40">
        <v>3</v>
      </c>
      <c r="L78" s="40">
        <v>3</v>
      </c>
      <c r="M78" s="40">
        <v>3</v>
      </c>
      <c r="N78" s="9">
        <f>SUM(B78:M78)/12</f>
        <v>3</v>
      </c>
    </row>
    <row r="79" spans="1:14" x14ac:dyDescent="0.25">
      <c r="A79" s="142" t="s">
        <v>17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9">
        <f>SUM(B79:M79)/12</f>
        <v>0</v>
      </c>
    </row>
    <row r="80" spans="1:14" x14ac:dyDescent="0.25">
      <c r="A80" s="142"/>
      <c r="B80" s="10"/>
      <c r="C80" s="10"/>
      <c r="D80" s="10"/>
      <c r="E80" s="10"/>
      <c r="F80" s="10"/>
      <c r="G80" s="10"/>
      <c r="H80" s="8"/>
      <c r="I80" s="10"/>
      <c r="J80" s="10"/>
      <c r="K80" s="10"/>
      <c r="L80" s="10"/>
      <c r="M80" s="10"/>
      <c r="N80" s="11"/>
    </row>
    <row r="81" spans="1:15" x14ac:dyDescent="0.25">
      <c r="A81" s="140" t="s">
        <v>51</v>
      </c>
      <c r="B81" s="3">
        <f>B77+(B79*1.5)+(B78*0.8)</f>
        <v>25.4</v>
      </c>
      <c r="C81" s="3">
        <f>C77+(C79*1.5)+(C78*0.8)</f>
        <v>27.4</v>
      </c>
      <c r="D81" s="3">
        <f>D77+(D79*1.5)+(D78*0.8)</f>
        <v>31.4</v>
      </c>
      <c r="E81" s="3">
        <f>E77+(E79*1.5)+(E78*0.8)</f>
        <v>33.4</v>
      </c>
      <c r="F81" s="3">
        <f>F77+(F79*1.5)+(F78*0.8)</f>
        <v>33.4</v>
      </c>
      <c r="G81" s="3">
        <f t="shared" ref="G81:M81" si="6">G77+(G79*1.5)+(G78*0.8)</f>
        <v>33.4</v>
      </c>
      <c r="H81" s="3">
        <f t="shared" si="6"/>
        <v>35.4</v>
      </c>
      <c r="I81" s="3">
        <f t="shared" si="6"/>
        <v>36.4</v>
      </c>
      <c r="J81" s="3">
        <f t="shared" si="6"/>
        <v>38.4</v>
      </c>
      <c r="K81" s="3">
        <f t="shared" si="6"/>
        <v>40.4</v>
      </c>
      <c r="L81" s="3">
        <f t="shared" si="6"/>
        <v>42.4</v>
      </c>
      <c r="M81" s="3">
        <f t="shared" si="6"/>
        <v>46.4</v>
      </c>
      <c r="N81" s="9">
        <f>SUM(B81:M81)/12</f>
        <v>35.316666666666656</v>
      </c>
    </row>
    <row r="82" spans="1:15" x14ac:dyDescent="0.25">
      <c r="A82" s="81" t="s">
        <v>19</v>
      </c>
      <c r="B82" s="80">
        <v>1</v>
      </c>
      <c r="C82" s="79">
        <v>1</v>
      </c>
      <c r="D82" s="79">
        <v>1</v>
      </c>
      <c r="E82" s="79">
        <v>2</v>
      </c>
      <c r="F82" s="79">
        <v>0</v>
      </c>
      <c r="G82" s="79">
        <v>0</v>
      </c>
      <c r="H82" s="79">
        <v>1</v>
      </c>
      <c r="I82" s="79">
        <v>0</v>
      </c>
      <c r="J82" s="79">
        <v>0</v>
      </c>
      <c r="K82" s="79">
        <v>1</v>
      </c>
      <c r="L82" s="79">
        <v>2</v>
      </c>
      <c r="M82" s="79">
        <v>0</v>
      </c>
      <c r="N82" s="82">
        <f>SUM(B82:L82)</f>
        <v>9</v>
      </c>
    </row>
    <row r="83" spans="1:15" x14ac:dyDescent="0.25">
      <c r="B83" s="50" t="s">
        <v>91</v>
      </c>
      <c r="C83" s="50"/>
    </row>
    <row r="84" spans="1:15" x14ac:dyDescent="0.25">
      <c r="B84" s="50" t="s">
        <v>57</v>
      </c>
      <c r="C84" s="169"/>
      <c r="D84" s="23"/>
      <c r="E84" s="23"/>
      <c r="F84" s="23"/>
      <c r="G84" s="181"/>
      <c r="H84" s="181"/>
      <c r="I84" s="181"/>
      <c r="J84" s="181"/>
      <c r="K84" s="181"/>
      <c r="L84" s="181"/>
      <c r="M84" s="181"/>
      <c r="N84" s="23"/>
    </row>
    <row r="85" spans="1:15" x14ac:dyDescent="0.25">
      <c r="A85" s="186" t="s">
        <v>121</v>
      </c>
      <c r="B85" s="185">
        <v>2</v>
      </c>
      <c r="C85" s="180">
        <v>1</v>
      </c>
      <c r="D85" s="180">
        <v>3</v>
      </c>
      <c r="E85" s="180">
        <v>0</v>
      </c>
      <c r="F85" s="180">
        <v>0</v>
      </c>
      <c r="G85" s="184">
        <v>0</v>
      </c>
      <c r="H85" s="184">
        <v>1</v>
      </c>
      <c r="I85" s="184">
        <v>1</v>
      </c>
      <c r="J85" s="184">
        <v>2</v>
      </c>
      <c r="K85" s="184">
        <v>1</v>
      </c>
      <c r="L85" s="184">
        <v>0</v>
      </c>
      <c r="M85" s="184">
        <v>4</v>
      </c>
      <c r="N85">
        <f>SUM(B85:M85)</f>
        <v>15</v>
      </c>
    </row>
    <row r="86" spans="1:15" x14ac:dyDescent="0.25">
      <c r="A86" t="s">
        <v>119</v>
      </c>
    </row>
    <row r="87" spans="1:15" x14ac:dyDescent="0.25">
      <c r="A87" t="s">
        <v>110</v>
      </c>
    </row>
    <row r="89" spans="1:15" x14ac:dyDescent="0.25">
      <c r="A89" s="160" t="s">
        <v>96</v>
      </c>
      <c r="B89" s="161"/>
      <c r="C89" s="161"/>
      <c r="D89" s="161"/>
      <c r="E89" s="161"/>
      <c r="F89" s="161"/>
      <c r="G89" s="161"/>
      <c r="H89" s="77"/>
      <c r="I89" s="77"/>
      <c r="J89" s="77"/>
      <c r="K89" s="77"/>
      <c r="L89" s="77"/>
      <c r="M89" s="77"/>
      <c r="N89" s="77"/>
      <c r="O89" s="77"/>
    </row>
    <row r="90" spans="1:15" x14ac:dyDescent="0.25">
      <c r="A90" s="157" t="s">
        <v>55</v>
      </c>
      <c r="B90" s="158" t="s">
        <v>2</v>
      </c>
      <c r="C90" s="158" t="s">
        <v>3</v>
      </c>
      <c r="D90" s="158" t="s">
        <v>4</v>
      </c>
      <c r="E90" s="141" t="s">
        <v>5</v>
      </c>
      <c r="F90" s="141" t="s">
        <v>6</v>
      </c>
      <c r="G90" s="141" t="s">
        <v>7</v>
      </c>
      <c r="H90" s="141" t="s">
        <v>8</v>
      </c>
      <c r="I90" s="141" t="s">
        <v>9</v>
      </c>
      <c r="J90" s="141" t="s">
        <v>10</v>
      </c>
      <c r="K90" s="141" t="s">
        <v>11</v>
      </c>
      <c r="L90" s="141" t="s">
        <v>12</v>
      </c>
      <c r="M90" s="141" t="s">
        <v>13</v>
      </c>
      <c r="N90" s="142" t="s">
        <v>14</v>
      </c>
      <c r="O90" s="77"/>
    </row>
    <row r="91" spans="1:15" x14ac:dyDescent="0.25">
      <c r="A91" s="159"/>
      <c r="B91" s="159"/>
      <c r="C91" s="159"/>
      <c r="D91" s="159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77"/>
    </row>
    <row r="92" spans="1:15" x14ac:dyDescent="0.25">
      <c r="A92" s="159" t="s">
        <v>15</v>
      </c>
      <c r="B92" s="153">
        <f>30+1</f>
        <v>31</v>
      </c>
      <c r="C92" s="37">
        <f>31+3-2-0.75</f>
        <v>31.25</v>
      </c>
      <c r="D92" s="37">
        <f>31</f>
        <v>31</v>
      </c>
      <c r="E92" s="150">
        <f>31-1</f>
        <v>30</v>
      </c>
      <c r="F92" s="150">
        <v>28.5</v>
      </c>
      <c r="G92" s="151">
        <v>30</v>
      </c>
      <c r="H92" s="150">
        <v>30</v>
      </c>
      <c r="I92" s="150">
        <v>30</v>
      </c>
      <c r="J92" s="150">
        <v>31</v>
      </c>
      <c r="K92" s="150">
        <v>32</v>
      </c>
      <c r="L92" s="150">
        <v>32</v>
      </c>
      <c r="M92" s="152">
        <v>33</v>
      </c>
      <c r="N92" s="7">
        <f>SUM(B92:M92)/12</f>
        <v>30.8125</v>
      </c>
      <c r="O92" s="77"/>
    </row>
    <row r="93" spans="1:15" x14ac:dyDescent="0.25">
      <c r="A93" s="159" t="s">
        <v>16</v>
      </c>
      <c r="B93" s="39">
        <f>3+1</f>
        <v>4</v>
      </c>
      <c r="C93" s="39">
        <v>4</v>
      </c>
      <c r="D93" s="39">
        <v>4</v>
      </c>
      <c r="E93" s="40">
        <v>4</v>
      </c>
      <c r="F93" s="40">
        <v>4</v>
      </c>
      <c r="G93" s="40">
        <v>4</v>
      </c>
      <c r="H93" s="40">
        <v>4</v>
      </c>
      <c r="I93" s="40">
        <v>4</v>
      </c>
      <c r="J93" s="40">
        <v>4</v>
      </c>
      <c r="K93" s="40">
        <v>4</v>
      </c>
      <c r="L93" s="40">
        <v>4</v>
      </c>
      <c r="M93" s="10">
        <v>4</v>
      </c>
      <c r="N93" s="9">
        <f>SUM(B93:M93)/12</f>
        <v>4</v>
      </c>
      <c r="O93" s="77"/>
    </row>
    <row r="94" spans="1:15" x14ac:dyDescent="0.25">
      <c r="A94" s="159" t="s">
        <v>17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10"/>
      <c r="N94" s="9">
        <f>SUM(B94:M94)/12</f>
        <v>0</v>
      </c>
      <c r="O94" s="77"/>
    </row>
    <row r="95" spans="1:15" x14ac:dyDescent="0.25">
      <c r="A95" s="142"/>
      <c r="B95" s="10"/>
      <c r="C95" s="10"/>
      <c r="D95" s="10"/>
      <c r="E95" s="10"/>
      <c r="F95" s="10"/>
      <c r="G95" s="10"/>
      <c r="H95" s="8"/>
      <c r="I95" s="10"/>
      <c r="J95" s="10"/>
      <c r="K95" s="10"/>
      <c r="L95" s="10"/>
      <c r="M95" s="10"/>
      <c r="N95" s="11"/>
      <c r="O95" s="78"/>
    </row>
    <row r="96" spans="1:15" x14ac:dyDescent="0.25">
      <c r="A96" s="140" t="s">
        <v>18</v>
      </c>
      <c r="B96" s="3">
        <f>B92+(B94*1.5)+(B93*0.8)</f>
        <v>34.200000000000003</v>
      </c>
      <c r="C96" s="3">
        <f>C92+(C94*1.5)+(C93*0.8)</f>
        <v>34.450000000000003</v>
      </c>
      <c r="D96" s="3">
        <f>D92+(D94*1.5)+(D93*0.8)</f>
        <v>34.200000000000003</v>
      </c>
      <c r="E96" s="3">
        <f>E92+(E94*1.5)+(E93*0.8)</f>
        <v>33.200000000000003</v>
      </c>
      <c r="F96" s="3">
        <f>F92+(F94*1.5)+(F93*0.8)</f>
        <v>31.7</v>
      </c>
      <c r="G96" s="3">
        <f t="shared" ref="G96:M96" si="7">G92+(G94*1.5)+(G93*0.8)</f>
        <v>33.200000000000003</v>
      </c>
      <c r="H96" s="3">
        <f t="shared" si="7"/>
        <v>33.200000000000003</v>
      </c>
      <c r="I96" s="3">
        <f t="shared" si="7"/>
        <v>33.200000000000003</v>
      </c>
      <c r="J96" s="3">
        <f t="shared" si="7"/>
        <v>34.200000000000003</v>
      </c>
      <c r="K96" s="3">
        <f t="shared" si="7"/>
        <v>35.200000000000003</v>
      </c>
      <c r="L96" s="3">
        <f t="shared" si="7"/>
        <v>35.200000000000003</v>
      </c>
      <c r="M96" s="3">
        <f t="shared" si="7"/>
        <v>36.200000000000003</v>
      </c>
      <c r="N96" s="9">
        <f>SUM(B96:M96)/12</f>
        <v>34.012499999999996</v>
      </c>
      <c r="O96" s="77"/>
    </row>
    <row r="97" spans="1:15" x14ac:dyDescent="0.25">
      <c r="A97" s="81" t="s">
        <v>19</v>
      </c>
      <c r="B97" s="80">
        <v>2</v>
      </c>
      <c r="C97" s="79">
        <v>3</v>
      </c>
      <c r="D97" s="79">
        <v>0</v>
      </c>
      <c r="E97" s="79">
        <v>0</v>
      </c>
      <c r="F97" s="79">
        <v>0</v>
      </c>
      <c r="G97" s="79">
        <v>1</v>
      </c>
      <c r="H97" s="79">
        <v>0</v>
      </c>
      <c r="I97" s="79">
        <v>0</v>
      </c>
      <c r="J97" s="79">
        <v>0</v>
      </c>
      <c r="K97" s="79">
        <v>1</v>
      </c>
      <c r="L97" s="79">
        <v>0</v>
      </c>
      <c r="M97" s="79">
        <v>0</v>
      </c>
      <c r="N97" s="82">
        <v>7</v>
      </c>
      <c r="O97" s="77"/>
    </row>
    <row r="98" spans="1:15" x14ac:dyDescent="0.25">
      <c r="A98" s="75"/>
      <c r="B98" s="80" t="s">
        <v>57</v>
      </c>
      <c r="C98" s="79" t="s">
        <v>56</v>
      </c>
      <c r="D98" s="84" t="s">
        <v>59</v>
      </c>
      <c r="E98" s="79"/>
      <c r="F98" s="79"/>
      <c r="G98" s="79"/>
      <c r="H98" s="79"/>
      <c r="I98" s="79"/>
      <c r="J98" s="79"/>
      <c r="K98" s="79"/>
      <c r="L98" s="79"/>
      <c r="M98" s="79"/>
      <c r="N98" s="74"/>
      <c r="O98" s="77"/>
    </row>
    <row r="99" spans="1:15" x14ac:dyDescent="0.25">
      <c r="A99" s="75"/>
      <c r="B99" s="80"/>
      <c r="C99" s="79" t="s">
        <v>58</v>
      </c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4"/>
    </row>
    <row r="100" spans="1:15" x14ac:dyDescent="0.25">
      <c r="E100" s="149" t="s">
        <v>97</v>
      </c>
      <c r="F100" s="85"/>
      <c r="G100" s="85">
        <v>1</v>
      </c>
      <c r="H100" s="85"/>
      <c r="I100" s="85"/>
      <c r="J100" s="85">
        <v>1</v>
      </c>
      <c r="K100" s="85"/>
      <c r="L100" s="85"/>
      <c r="M100" s="85">
        <v>1</v>
      </c>
      <c r="N100" s="85"/>
    </row>
    <row r="101" spans="1:15" x14ac:dyDescent="0.25">
      <c r="A101" s="75"/>
      <c r="B101" s="80"/>
      <c r="C101" s="79"/>
      <c r="D101" s="79"/>
      <c r="E101" s="79"/>
      <c r="F101" s="79"/>
      <c r="G101" s="79" t="s">
        <v>109</v>
      </c>
      <c r="H101" s="79"/>
      <c r="I101" s="79"/>
      <c r="J101" s="79"/>
      <c r="K101" s="79"/>
      <c r="L101" s="79"/>
      <c r="M101" s="79"/>
      <c r="N101" s="74"/>
      <c r="O101" s="77"/>
    </row>
    <row r="103" spans="1:15" x14ac:dyDescent="0.25">
      <c r="A103" s="35" t="s">
        <v>39</v>
      </c>
      <c r="B103" s="72"/>
      <c r="C103" s="72"/>
      <c r="D103" s="7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1:15" x14ac:dyDescent="0.25">
      <c r="A104" s="69" t="s">
        <v>55</v>
      </c>
      <c r="B104" s="70" t="s">
        <v>2</v>
      </c>
      <c r="C104" s="70" t="s">
        <v>3</v>
      </c>
      <c r="D104" s="70" t="s">
        <v>4</v>
      </c>
      <c r="E104" s="70" t="s">
        <v>5</v>
      </c>
      <c r="F104" s="70" t="s">
        <v>6</v>
      </c>
      <c r="G104" s="70" t="s">
        <v>7</v>
      </c>
      <c r="H104" s="70" t="s">
        <v>8</v>
      </c>
      <c r="I104" s="70" t="s">
        <v>9</v>
      </c>
      <c r="J104" s="70" t="s">
        <v>10</v>
      </c>
      <c r="K104" s="70" t="s">
        <v>11</v>
      </c>
      <c r="L104" s="70" t="s">
        <v>12</v>
      </c>
      <c r="M104" s="70" t="s">
        <v>13</v>
      </c>
      <c r="N104" s="71" t="s">
        <v>14</v>
      </c>
      <c r="O104" s="62"/>
    </row>
    <row r="105" spans="1:15" x14ac:dyDescent="0.2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62"/>
    </row>
    <row r="106" spans="1:15" x14ac:dyDescent="0.25">
      <c r="A106" s="71" t="s">
        <v>15</v>
      </c>
      <c r="B106" s="28">
        <f>30+1</f>
        <v>31</v>
      </c>
      <c r="C106" s="54">
        <f>31+3-2-0.75</f>
        <v>31.25</v>
      </c>
      <c r="D106" s="54">
        <f>31</f>
        <v>31</v>
      </c>
      <c r="E106" s="246">
        <f>31-1</f>
        <v>30</v>
      </c>
      <c r="F106" s="246">
        <f>30-1-0.5</f>
        <v>28.5</v>
      </c>
      <c r="G106" s="247">
        <v>31</v>
      </c>
      <c r="H106" s="246">
        <v>31</v>
      </c>
      <c r="I106" s="246">
        <v>31</v>
      </c>
      <c r="J106" s="246">
        <v>31</v>
      </c>
      <c r="K106" s="246">
        <v>31</v>
      </c>
      <c r="L106" s="150">
        <v>31</v>
      </c>
      <c r="M106" s="152">
        <v>31</v>
      </c>
      <c r="N106" s="7">
        <f>SUM(B106:M106)/12</f>
        <v>30.729166666666668</v>
      </c>
      <c r="O106" s="62"/>
    </row>
    <row r="107" spans="1:15" x14ac:dyDescent="0.25">
      <c r="A107" s="71" t="s">
        <v>16</v>
      </c>
      <c r="B107" s="29">
        <f>3+1</f>
        <v>4</v>
      </c>
      <c r="C107" s="29">
        <v>4</v>
      </c>
      <c r="D107" s="29">
        <v>4</v>
      </c>
      <c r="E107" s="29">
        <v>4</v>
      </c>
      <c r="F107" s="29">
        <v>4</v>
      </c>
      <c r="G107" s="29">
        <v>3</v>
      </c>
      <c r="H107" s="29">
        <v>3</v>
      </c>
      <c r="I107" s="29">
        <v>3</v>
      </c>
      <c r="J107" s="29">
        <v>3</v>
      </c>
      <c r="K107" s="29">
        <v>3</v>
      </c>
      <c r="L107" s="40">
        <v>3</v>
      </c>
      <c r="M107" s="10">
        <v>3</v>
      </c>
      <c r="N107" s="9">
        <f>SUM(B107:M107)/12</f>
        <v>3.4166666666666665</v>
      </c>
      <c r="O107" s="62"/>
    </row>
    <row r="108" spans="1:15" x14ac:dyDescent="0.25">
      <c r="A108" s="71" t="s">
        <v>17</v>
      </c>
      <c r="B108" s="30"/>
      <c r="C108" s="30"/>
      <c r="D108" s="30"/>
      <c r="E108" s="29"/>
      <c r="F108" s="29"/>
      <c r="G108" s="29"/>
      <c r="H108" s="29"/>
      <c r="I108" s="29"/>
      <c r="J108" s="29"/>
      <c r="K108" s="29"/>
      <c r="L108" s="40"/>
      <c r="M108" s="10"/>
      <c r="N108" s="9">
        <f>SUM(B108:M108)/12</f>
        <v>0</v>
      </c>
      <c r="O108" s="62"/>
    </row>
    <row r="109" spans="1:15" x14ac:dyDescent="0.25">
      <c r="A109" s="71"/>
      <c r="B109" s="10"/>
      <c r="C109" s="10"/>
      <c r="D109" s="10"/>
      <c r="E109" s="10"/>
      <c r="F109" s="10"/>
      <c r="G109" s="10"/>
      <c r="H109" s="8"/>
      <c r="I109" s="10"/>
      <c r="J109" s="10"/>
      <c r="K109" s="10"/>
      <c r="L109" s="10"/>
      <c r="M109" s="10"/>
      <c r="N109" s="11"/>
      <c r="O109" s="63"/>
    </row>
    <row r="110" spans="1:15" x14ac:dyDescent="0.25">
      <c r="A110" s="69" t="s">
        <v>18</v>
      </c>
      <c r="B110" s="3">
        <f>B106+(B108*1.5)+(B107*0.8)</f>
        <v>34.200000000000003</v>
      </c>
      <c r="C110" s="3">
        <f>C106+(C108*1.5)+(C107*0.8)</f>
        <v>34.450000000000003</v>
      </c>
      <c r="D110" s="3">
        <f>D106+(D108*1.5)+(D107*0.8)</f>
        <v>34.200000000000003</v>
      </c>
      <c r="E110" s="3">
        <f>E106+(E108*1.5)+(E107*0.8)</f>
        <v>33.200000000000003</v>
      </c>
      <c r="F110" s="3">
        <f>F106+(F108*1.5)+(F107*0.8)</f>
        <v>31.7</v>
      </c>
      <c r="G110" s="3">
        <f t="shared" ref="G110:M110" si="8">G106+(G108*1.5)+(G107*0.8)</f>
        <v>33.4</v>
      </c>
      <c r="H110" s="3">
        <f t="shared" si="8"/>
        <v>33.4</v>
      </c>
      <c r="I110" s="3">
        <f t="shared" si="8"/>
        <v>33.4</v>
      </c>
      <c r="J110" s="3">
        <f t="shared" si="8"/>
        <v>33.4</v>
      </c>
      <c r="K110" s="3">
        <f t="shared" si="8"/>
        <v>33.4</v>
      </c>
      <c r="L110" s="3">
        <f t="shared" si="8"/>
        <v>33.4</v>
      </c>
      <c r="M110" s="3">
        <f t="shared" si="8"/>
        <v>33.4</v>
      </c>
      <c r="N110" s="9">
        <f>SUM(B110:M110)/12</f>
        <v>33.462499999999991</v>
      </c>
      <c r="O110" s="62"/>
    </row>
    <row r="111" spans="1:15" x14ac:dyDescent="0.25">
      <c r="A111" s="67" t="s">
        <v>19</v>
      </c>
      <c r="B111" s="65">
        <v>2</v>
      </c>
      <c r="C111" s="64">
        <v>3</v>
      </c>
      <c r="D111" s="64">
        <v>0</v>
      </c>
      <c r="E111" s="64">
        <v>0</v>
      </c>
      <c r="F111" s="64">
        <v>0</v>
      </c>
      <c r="G111" s="64">
        <v>2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8">
        <v>7</v>
      </c>
      <c r="O111" s="62"/>
    </row>
    <row r="112" spans="1:15" x14ac:dyDescent="0.25">
      <c r="A112" s="75"/>
      <c r="B112" s="80" t="s">
        <v>57</v>
      </c>
      <c r="C112" s="79" t="s">
        <v>56</v>
      </c>
      <c r="D112" s="84" t="s">
        <v>59</v>
      </c>
      <c r="E112" s="79" t="s">
        <v>101</v>
      </c>
      <c r="F112" s="79" t="s">
        <v>108</v>
      </c>
      <c r="G112" s="79"/>
      <c r="H112" s="79"/>
      <c r="I112" s="79"/>
      <c r="J112" s="79"/>
      <c r="K112" s="79"/>
      <c r="L112" s="79"/>
      <c r="M112" s="79"/>
      <c r="N112" s="74"/>
      <c r="O112" s="77"/>
    </row>
    <row r="113" spans="1:15" x14ac:dyDescent="0.25">
      <c r="A113" s="75"/>
      <c r="B113" s="80"/>
      <c r="C113" s="79" t="s">
        <v>58</v>
      </c>
      <c r="D113" s="79"/>
      <c r="E113" s="79"/>
      <c r="F113" s="79"/>
      <c r="G113" s="79"/>
      <c r="H113" s="79"/>
      <c r="I113" s="79"/>
      <c r="J113" s="79"/>
      <c r="K113" s="79"/>
      <c r="L113" s="79"/>
      <c r="M113" s="164"/>
      <c r="N113" s="165"/>
      <c r="O113" s="77"/>
    </row>
  </sheetData>
  <pageMargins left="0" right="0" top="0.35433070866141736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9"/>
  <sheetViews>
    <sheetView workbookViewId="0">
      <selection activeCell="M34" sqref="M34"/>
    </sheetView>
  </sheetViews>
  <sheetFormatPr defaultRowHeight="15" x14ac:dyDescent="0.25"/>
  <sheetData>
    <row r="2" spans="1:15" x14ac:dyDescent="0.25">
      <c r="A2" s="255" t="s">
        <v>309</v>
      </c>
      <c r="B2" s="83"/>
      <c r="C2" s="83"/>
      <c r="D2" s="8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x14ac:dyDescent="0.25">
      <c r="A3" s="69"/>
      <c r="B3" s="70" t="s">
        <v>2</v>
      </c>
      <c r="C3" s="70" t="s">
        <v>3</v>
      </c>
      <c r="D3" s="70" t="s">
        <v>4</v>
      </c>
      <c r="E3" s="70" t="s">
        <v>5</v>
      </c>
      <c r="F3" s="70" t="s">
        <v>6</v>
      </c>
      <c r="G3" s="70" t="s">
        <v>7</v>
      </c>
      <c r="H3" s="70" t="s">
        <v>8</v>
      </c>
      <c r="I3" s="70" t="s">
        <v>9</v>
      </c>
      <c r="J3" s="70" t="s">
        <v>10</v>
      </c>
      <c r="K3" s="70" t="s">
        <v>11</v>
      </c>
      <c r="L3" s="70" t="s">
        <v>12</v>
      </c>
      <c r="M3" s="70" t="s">
        <v>13</v>
      </c>
      <c r="N3" s="71" t="s">
        <v>14</v>
      </c>
      <c r="O3" s="62"/>
    </row>
    <row r="4" spans="1:15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62"/>
    </row>
    <row r="5" spans="1:15" x14ac:dyDescent="0.25">
      <c r="A5" s="71" t="s">
        <v>15</v>
      </c>
      <c r="B5" s="276">
        <v>77</v>
      </c>
      <c r="C5" s="277">
        <v>80</v>
      </c>
      <c r="D5" s="277">
        <f>80+2-1</f>
        <v>81</v>
      </c>
      <c r="E5" s="277">
        <f>81+1</f>
        <v>82</v>
      </c>
      <c r="F5" s="277">
        <v>82</v>
      </c>
      <c r="G5" s="278">
        <v>83</v>
      </c>
      <c r="H5" s="37">
        <v>84</v>
      </c>
      <c r="I5" s="37">
        <v>84</v>
      </c>
      <c r="J5" s="37">
        <v>86</v>
      </c>
      <c r="K5" s="37">
        <v>88</v>
      </c>
      <c r="L5" s="37">
        <v>90</v>
      </c>
      <c r="M5" s="3">
        <v>93</v>
      </c>
      <c r="N5" s="7">
        <f>SUM(B5:M5)/12</f>
        <v>84.166666666666671</v>
      </c>
      <c r="O5" s="62"/>
    </row>
    <row r="6" spans="1:15" x14ac:dyDescent="0.25">
      <c r="A6" s="71" t="s">
        <v>16</v>
      </c>
      <c r="B6" s="279">
        <v>1</v>
      </c>
      <c r="C6" s="279">
        <v>1</v>
      </c>
      <c r="D6" s="279">
        <v>1</v>
      </c>
      <c r="E6" s="279">
        <v>1</v>
      </c>
      <c r="F6" s="279">
        <v>1</v>
      </c>
      <c r="G6" s="279">
        <v>1</v>
      </c>
      <c r="H6" s="39">
        <v>1</v>
      </c>
      <c r="I6" s="39">
        <v>1</v>
      </c>
      <c r="J6" s="39">
        <v>1</v>
      </c>
      <c r="K6" s="39">
        <v>1</v>
      </c>
      <c r="L6" s="39">
        <v>1</v>
      </c>
      <c r="M6" s="8">
        <v>1</v>
      </c>
      <c r="N6" s="9">
        <f>SUM(B6:M6)/12</f>
        <v>1</v>
      </c>
      <c r="O6" s="62"/>
    </row>
    <row r="7" spans="1:15" x14ac:dyDescent="0.25">
      <c r="A7" s="71" t="s">
        <v>17</v>
      </c>
      <c r="B7" s="280"/>
      <c r="C7" s="280"/>
      <c r="D7" s="280"/>
      <c r="E7" s="280"/>
      <c r="F7" s="280"/>
      <c r="G7" s="280"/>
      <c r="H7" s="40"/>
      <c r="I7" s="40"/>
      <c r="J7" s="40"/>
      <c r="K7" s="40"/>
      <c r="L7" s="40"/>
      <c r="M7" s="10"/>
      <c r="N7" s="9">
        <f>SUM(B7:M7)/12</f>
        <v>0</v>
      </c>
      <c r="O7" s="62"/>
    </row>
    <row r="8" spans="1:15" x14ac:dyDescent="0.25">
      <c r="A8" s="71"/>
      <c r="B8" s="10"/>
      <c r="C8" s="10"/>
      <c r="D8" s="40"/>
      <c r="E8" s="40"/>
      <c r="F8" s="40"/>
      <c r="G8" s="40"/>
      <c r="H8" s="39"/>
      <c r="I8" s="40"/>
      <c r="J8" s="40"/>
      <c r="K8" s="40"/>
      <c r="L8" s="40"/>
      <c r="M8" s="10"/>
      <c r="N8" s="11"/>
      <c r="O8" s="63"/>
    </row>
    <row r="9" spans="1:15" x14ac:dyDescent="0.25">
      <c r="A9" s="69" t="s">
        <v>51</v>
      </c>
      <c r="B9" s="3">
        <f>B5+(B7*1.5)+(B6*0.8)</f>
        <v>77.8</v>
      </c>
      <c r="C9" s="3">
        <f>C5+(C7*1.5)+(C6*0.8)</f>
        <v>80.8</v>
      </c>
      <c r="D9" s="3">
        <f>D5+(D7*1.5)+(D6*0.8)</f>
        <v>81.8</v>
      </c>
      <c r="E9" s="3">
        <f>E5+(E7*1.5)+(E6*0.8)</f>
        <v>82.8</v>
      </c>
      <c r="F9" s="3">
        <f>F5+(F7*1.5)+(F6*0.8)</f>
        <v>82.8</v>
      </c>
      <c r="G9" s="3">
        <f t="shared" ref="G9:M9" si="0">G5+(G7*1.5)+(G6*0.8)</f>
        <v>83.8</v>
      </c>
      <c r="H9" s="3">
        <f t="shared" si="0"/>
        <v>84.8</v>
      </c>
      <c r="I9" s="3">
        <f t="shared" si="0"/>
        <v>84.8</v>
      </c>
      <c r="J9" s="3">
        <f t="shared" si="0"/>
        <v>86.8</v>
      </c>
      <c r="K9" s="3">
        <f t="shared" si="0"/>
        <v>88.8</v>
      </c>
      <c r="L9" s="3">
        <f t="shared" si="0"/>
        <v>90.8</v>
      </c>
      <c r="M9" s="3">
        <f t="shared" si="0"/>
        <v>93.8</v>
      </c>
      <c r="N9" s="9">
        <f>SUM(B9:M9)/12</f>
        <v>84.966666666666654</v>
      </c>
      <c r="O9" s="62"/>
    </row>
    <row r="10" spans="1:15" x14ac:dyDescent="0.25">
      <c r="A10" s="67" t="s">
        <v>19</v>
      </c>
      <c r="B10" s="80">
        <v>3</v>
      </c>
      <c r="C10" s="79">
        <v>3</v>
      </c>
      <c r="D10" s="79">
        <v>2</v>
      </c>
      <c r="E10" s="79">
        <v>1</v>
      </c>
      <c r="F10" s="79">
        <v>0</v>
      </c>
      <c r="G10" s="79">
        <v>1</v>
      </c>
      <c r="H10" s="79">
        <v>1</v>
      </c>
      <c r="I10" s="79">
        <v>0</v>
      </c>
      <c r="J10" s="79">
        <v>2</v>
      </c>
      <c r="K10" s="79">
        <v>2</v>
      </c>
      <c r="L10" s="79">
        <v>2</v>
      </c>
      <c r="M10" s="79">
        <v>3</v>
      </c>
      <c r="N10" s="68">
        <f>SUM(B10:M10)</f>
        <v>20</v>
      </c>
      <c r="O10" s="62"/>
    </row>
    <row r="11" spans="1:15" x14ac:dyDescent="0.25">
      <c r="B11" s="84"/>
      <c r="C11" s="84"/>
      <c r="D11" s="84" t="s">
        <v>310</v>
      </c>
      <c r="E11" s="84"/>
      <c r="F11" s="84"/>
      <c r="G11" s="84"/>
      <c r="H11" s="84"/>
      <c r="I11" s="84"/>
      <c r="J11" s="84"/>
      <c r="K11" s="84"/>
      <c r="L11" s="84"/>
      <c r="M11" s="84"/>
    </row>
    <row r="12" spans="1:15" x14ac:dyDescent="0.25">
      <c r="A12" s="136"/>
      <c r="B12" s="101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5" x14ac:dyDescent="0.25">
      <c r="A13" s="221" t="s">
        <v>260</v>
      </c>
      <c r="B13" s="221"/>
      <c r="C13" s="221"/>
      <c r="D13" s="221"/>
    </row>
    <row r="14" spans="1:15" s="1" customFormat="1" x14ac:dyDescent="0.25">
      <c r="A14" s="2"/>
      <c r="B14" s="3" t="s">
        <v>2</v>
      </c>
      <c r="C14" s="3" t="s">
        <v>3</v>
      </c>
      <c r="D14" s="3" t="s">
        <v>4</v>
      </c>
      <c r="E14" s="3" t="s">
        <v>5</v>
      </c>
      <c r="F14" s="3" t="s">
        <v>6</v>
      </c>
      <c r="G14" s="3" t="s">
        <v>7</v>
      </c>
      <c r="H14" s="3" t="s">
        <v>8</v>
      </c>
      <c r="I14" s="3" t="s">
        <v>9</v>
      </c>
      <c r="J14" s="3" t="s">
        <v>10</v>
      </c>
      <c r="K14" s="3" t="s">
        <v>11</v>
      </c>
      <c r="L14" s="3" t="s">
        <v>12</v>
      </c>
      <c r="M14" s="3" t="s">
        <v>13</v>
      </c>
      <c r="N14" s="4" t="s">
        <v>14</v>
      </c>
    </row>
    <row r="15" spans="1:15" s="1" customForma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5" s="1" customFormat="1" x14ac:dyDescent="0.25">
      <c r="A16" s="4" t="s">
        <v>15</v>
      </c>
      <c r="B16" s="5">
        <f>102-27+3</f>
        <v>78</v>
      </c>
      <c r="C16" s="3">
        <v>81</v>
      </c>
      <c r="D16" s="3">
        <v>82</v>
      </c>
      <c r="E16" s="3">
        <v>83</v>
      </c>
      <c r="F16" s="3">
        <v>83</v>
      </c>
      <c r="G16" s="6">
        <v>83</v>
      </c>
      <c r="H16" s="3">
        <v>84</v>
      </c>
      <c r="I16" s="3">
        <v>84</v>
      </c>
      <c r="J16" s="3">
        <v>86</v>
      </c>
      <c r="K16" s="3">
        <v>88</v>
      </c>
      <c r="L16" s="3">
        <v>90</v>
      </c>
      <c r="M16" s="3">
        <v>93</v>
      </c>
      <c r="N16" s="7">
        <f>SUM(B16:M16)/12</f>
        <v>84.583333333333329</v>
      </c>
    </row>
    <row r="17" spans="1:15" s="1" customFormat="1" x14ac:dyDescent="0.25">
      <c r="A17" s="4" t="s">
        <v>16</v>
      </c>
      <c r="B17" s="8">
        <f>1-1</f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9">
        <f>SUM(B17:M17)/12</f>
        <v>0</v>
      </c>
    </row>
    <row r="18" spans="1:15" s="1" customFormat="1" x14ac:dyDescent="0.25">
      <c r="A18" s="4" t="s">
        <v>17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9">
        <f>SUM(B18:M18)/12</f>
        <v>0</v>
      </c>
    </row>
    <row r="19" spans="1:15" s="1" customFormat="1" x14ac:dyDescent="0.25">
      <c r="A19" s="4"/>
      <c r="B19" s="10"/>
      <c r="C19" s="10"/>
      <c r="D19" s="10"/>
      <c r="E19" s="10"/>
      <c r="F19" s="10"/>
      <c r="G19" s="10"/>
      <c r="H19" s="8"/>
      <c r="I19" s="10"/>
      <c r="J19" s="10"/>
      <c r="K19" s="10"/>
      <c r="L19" s="10"/>
      <c r="M19" s="10"/>
      <c r="N19" s="11"/>
      <c r="O19" s="12"/>
    </row>
    <row r="20" spans="1:15" s="1" customFormat="1" x14ac:dyDescent="0.25">
      <c r="A20" s="2" t="s">
        <v>51</v>
      </c>
      <c r="B20" s="3">
        <f>B16+(B18*1.5)+(B17*0.8)</f>
        <v>78</v>
      </c>
      <c r="C20" s="3">
        <f>C16+(C18*1.5)+(C17*0.8)</f>
        <v>81</v>
      </c>
      <c r="D20" s="3">
        <f>D16+(D18*1.5)+(D17*0.8)</f>
        <v>82</v>
      </c>
      <c r="E20" s="3">
        <f>E16+(E18*1.5)+(E17*0.8)</f>
        <v>83</v>
      </c>
      <c r="F20" s="3">
        <f>F16+(F18*1.5)+(F17*0.8)</f>
        <v>83</v>
      </c>
      <c r="G20" s="3">
        <f t="shared" ref="G20:M20" si="1">G16+(G18*1.5)+(G17*0.8)</f>
        <v>83</v>
      </c>
      <c r="H20" s="3">
        <f t="shared" si="1"/>
        <v>84</v>
      </c>
      <c r="I20" s="3">
        <f t="shared" si="1"/>
        <v>84</v>
      </c>
      <c r="J20" s="3">
        <f t="shared" si="1"/>
        <v>86</v>
      </c>
      <c r="K20" s="3">
        <f t="shared" si="1"/>
        <v>88</v>
      </c>
      <c r="L20" s="3">
        <f t="shared" si="1"/>
        <v>90</v>
      </c>
      <c r="M20" s="3">
        <f t="shared" si="1"/>
        <v>93</v>
      </c>
      <c r="N20" s="9">
        <f>SUM(B20:M20)/12</f>
        <v>84.583333333333329</v>
      </c>
    </row>
    <row r="21" spans="1:15" s="1" customFormat="1" x14ac:dyDescent="0.25">
      <c r="A21" s="13" t="s">
        <v>19</v>
      </c>
      <c r="B21" s="14">
        <v>3</v>
      </c>
      <c r="C21" s="15">
        <v>3</v>
      </c>
      <c r="D21" s="15">
        <v>1</v>
      </c>
      <c r="E21" s="15">
        <v>1</v>
      </c>
      <c r="F21" s="15">
        <v>0</v>
      </c>
      <c r="G21" s="15">
        <v>0</v>
      </c>
      <c r="H21" s="15">
        <v>1</v>
      </c>
      <c r="I21" s="15">
        <v>0</v>
      </c>
      <c r="J21" s="15">
        <v>2</v>
      </c>
      <c r="K21" s="15">
        <v>2</v>
      </c>
      <c r="L21" s="15">
        <v>2</v>
      </c>
      <c r="M21" s="15">
        <v>3</v>
      </c>
      <c r="N21" s="16">
        <f>SUM(B21:M21)</f>
        <v>18</v>
      </c>
      <c r="O21" s="15"/>
    </row>
    <row r="22" spans="1:15" x14ac:dyDescent="0.25">
      <c r="A22" s="136"/>
      <c r="B22" s="106" t="s">
        <v>250</v>
      </c>
      <c r="C22" s="10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</row>
    <row r="23" spans="1:15" x14ac:dyDescent="0.25">
      <c r="B23" s="43" t="s">
        <v>57</v>
      </c>
      <c r="C23" s="43"/>
    </row>
    <row r="25" spans="1:15" x14ac:dyDescent="0.25">
      <c r="A25" s="251" t="s">
        <v>391</v>
      </c>
      <c r="B25" s="251"/>
      <c r="C25" s="251"/>
      <c r="D25" s="251"/>
    </row>
    <row r="26" spans="1:15" s="1" customFormat="1" x14ac:dyDescent="0.25">
      <c r="A26" s="2"/>
      <c r="B26" s="3" t="s">
        <v>2</v>
      </c>
      <c r="C26" s="3" t="s">
        <v>3</v>
      </c>
      <c r="D26" s="3" t="s">
        <v>4</v>
      </c>
      <c r="E26" s="3" t="s">
        <v>5</v>
      </c>
      <c r="F26" s="3" t="s">
        <v>6</v>
      </c>
      <c r="G26" s="3" t="s">
        <v>7</v>
      </c>
      <c r="H26" s="3" t="s">
        <v>8</v>
      </c>
      <c r="I26" s="3" t="s">
        <v>9</v>
      </c>
      <c r="J26" s="3" t="s">
        <v>10</v>
      </c>
      <c r="K26" s="3" t="s">
        <v>11</v>
      </c>
      <c r="L26" s="3" t="s">
        <v>12</v>
      </c>
      <c r="M26" s="3" t="s">
        <v>13</v>
      </c>
      <c r="N26" s="4" t="s">
        <v>14</v>
      </c>
    </row>
    <row r="27" spans="1:15" s="1" customForma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5" s="1" customFormat="1" x14ac:dyDescent="0.25">
      <c r="A28" s="4" t="s">
        <v>15</v>
      </c>
      <c r="B28" s="5">
        <f>93-33+2</f>
        <v>62</v>
      </c>
      <c r="C28" s="3">
        <v>62</v>
      </c>
      <c r="D28" s="3">
        <v>66</v>
      </c>
      <c r="E28" s="3">
        <v>69</v>
      </c>
      <c r="F28" s="3">
        <v>69</v>
      </c>
      <c r="G28" s="6">
        <v>73</v>
      </c>
      <c r="H28" s="3">
        <v>76</v>
      </c>
      <c r="I28" s="3">
        <v>77</v>
      </c>
      <c r="J28" s="3">
        <v>77</v>
      </c>
      <c r="K28" s="3">
        <v>77</v>
      </c>
      <c r="L28" s="3">
        <v>78</v>
      </c>
      <c r="M28" s="3">
        <v>80</v>
      </c>
      <c r="N28" s="7">
        <f>SUM(B28:M28)/12</f>
        <v>72.166666666666671</v>
      </c>
    </row>
    <row r="29" spans="1:15" s="1" customFormat="1" x14ac:dyDescent="0.25">
      <c r="A29" s="4" t="s">
        <v>16</v>
      </c>
      <c r="B29" s="8">
        <v>1</v>
      </c>
      <c r="C29" s="8">
        <v>1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8">
        <v>1</v>
      </c>
      <c r="N29" s="9">
        <f>SUM(B29:M29)/12</f>
        <v>1</v>
      </c>
    </row>
    <row r="30" spans="1:15" s="1" customFormat="1" x14ac:dyDescent="0.25">
      <c r="A30" s="4" t="s">
        <v>17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9">
        <f>SUM(B30:M30)/12</f>
        <v>0</v>
      </c>
    </row>
    <row r="31" spans="1:15" s="1" customFormat="1" x14ac:dyDescent="0.25">
      <c r="A31" s="4"/>
      <c r="B31" s="10"/>
      <c r="C31" s="10"/>
      <c r="D31" s="10"/>
      <c r="E31" s="10"/>
      <c r="F31" s="10"/>
      <c r="G31" s="10"/>
      <c r="H31" s="8"/>
      <c r="I31" s="10"/>
      <c r="J31" s="10"/>
      <c r="K31" s="10"/>
      <c r="L31" s="10"/>
      <c r="M31" s="10"/>
      <c r="N31" s="11"/>
      <c r="O31" s="12"/>
    </row>
    <row r="32" spans="1:15" s="1" customFormat="1" x14ac:dyDescent="0.25">
      <c r="A32" s="2" t="s">
        <v>51</v>
      </c>
      <c r="B32" s="3">
        <f>B28+(B30*1.5)+(B29*0.8)</f>
        <v>62.8</v>
      </c>
      <c r="C32" s="3">
        <f>C28+(C30*1.5)+(C29*0.8)</f>
        <v>62.8</v>
      </c>
      <c r="D32" s="3">
        <f>D28+(D30*1.5)+(D29*0.8)</f>
        <v>66.8</v>
      </c>
      <c r="E32" s="3">
        <f>E28+(E30*1.5)+(E29*0.8)</f>
        <v>69.8</v>
      </c>
      <c r="F32" s="3">
        <f>F28+(F30*1.5)+(F29*0.8)</f>
        <v>69.8</v>
      </c>
      <c r="G32" s="3">
        <f t="shared" ref="G32:M32" si="2">G28+(G30*1.5)+(G29*0.8)</f>
        <v>73.8</v>
      </c>
      <c r="H32" s="3">
        <f t="shared" si="2"/>
        <v>76.8</v>
      </c>
      <c r="I32" s="3">
        <f t="shared" si="2"/>
        <v>77.8</v>
      </c>
      <c r="J32" s="3">
        <f t="shared" si="2"/>
        <v>77.8</v>
      </c>
      <c r="K32" s="3">
        <f t="shared" si="2"/>
        <v>77.8</v>
      </c>
      <c r="L32" s="3">
        <f t="shared" si="2"/>
        <v>78.8</v>
      </c>
      <c r="M32" s="3">
        <f t="shared" si="2"/>
        <v>80.8</v>
      </c>
      <c r="N32" s="9">
        <f>SUM(B32:M32)/12</f>
        <v>72.966666666666654</v>
      </c>
    </row>
    <row r="33" spans="1:15" s="1" customFormat="1" x14ac:dyDescent="0.25">
      <c r="A33" s="13" t="s">
        <v>19</v>
      </c>
      <c r="B33" s="14">
        <v>2</v>
      </c>
      <c r="C33" s="15">
        <v>0</v>
      </c>
      <c r="D33" s="15">
        <v>4</v>
      </c>
      <c r="E33" s="15">
        <v>3</v>
      </c>
      <c r="F33" s="15">
        <v>0</v>
      </c>
      <c r="G33" s="15">
        <v>4</v>
      </c>
      <c r="H33" s="15">
        <v>3</v>
      </c>
      <c r="I33" s="15">
        <v>1</v>
      </c>
      <c r="J33" s="15">
        <v>0</v>
      </c>
      <c r="K33" s="15">
        <v>0</v>
      </c>
      <c r="L33" s="15">
        <v>1</v>
      </c>
      <c r="M33" s="15">
        <v>2</v>
      </c>
      <c r="N33" s="16">
        <f>SUM(B33:M33)</f>
        <v>20</v>
      </c>
      <c r="O33" s="15"/>
    </row>
    <row r="34" spans="1:15" x14ac:dyDescent="0.25">
      <c r="A34" s="136"/>
      <c r="B34" s="106" t="s">
        <v>392</v>
      </c>
      <c r="C34" s="10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</row>
    <row r="35" spans="1:15" x14ac:dyDescent="0.25">
      <c r="B35" s="43"/>
      <c r="C35" s="43"/>
    </row>
    <row r="36" spans="1:15" x14ac:dyDescent="0.25">
      <c r="A36" s="136"/>
      <c r="B36" s="101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</row>
    <row r="37" spans="1:15" x14ac:dyDescent="0.25">
      <c r="A37" s="229" t="s">
        <v>239</v>
      </c>
      <c r="B37" s="229"/>
      <c r="C37" s="229"/>
      <c r="D37" s="229"/>
    </row>
    <row r="38" spans="1:15" s="1" customFormat="1" x14ac:dyDescent="0.25">
      <c r="A38" s="2"/>
      <c r="B38" s="3" t="s">
        <v>2</v>
      </c>
      <c r="C38" s="3" t="s">
        <v>3</v>
      </c>
      <c r="D38" s="3" t="s">
        <v>4</v>
      </c>
      <c r="E38" s="3" t="s">
        <v>5</v>
      </c>
      <c r="F38" s="3" t="s">
        <v>6</v>
      </c>
      <c r="G38" s="3" t="s">
        <v>7</v>
      </c>
      <c r="H38" s="3" t="s">
        <v>8</v>
      </c>
      <c r="I38" s="3" t="s">
        <v>9</v>
      </c>
      <c r="J38" s="3" t="s">
        <v>10</v>
      </c>
      <c r="K38" s="3" t="s">
        <v>11</v>
      </c>
      <c r="L38" s="3" t="s">
        <v>12</v>
      </c>
      <c r="M38" s="3" t="s">
        <v>13</v>
      </c>
      <c r="N38" s="4" t="s">
        <v>14</v>
      </c>
    </row>
    <row r="39" spans="1:15" s="1" customForma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5" s="1" customFormat="1" x14ac:dyDescent="0.25">
      <c r="A40" s="4" t="s">
        <v>15</v>
      </c>
      <c r="B40" s="5">
        <f>103-27+2</f>
        <v>78</v>
      </c>
      <c r="C40" s="3">
        <v>82</v>
      </c>
      <c r="D40" s="3">
        <v>83</v>
      </c>
      <c r="E40" s="3">
        <v>84</v>
      </c>
      <c r="F40" s="3">
        <v>84</v>
      </c>
      <c r="G40" s="6">
        <v>84</v>
      </c>
      <c r="H40" s="3">
        <v>85</v>
      </c>
      <c r="I40" s="3">
        <v>85</v>
      </c>
      <c r="J40" s="3">
        <v>87</v>
      </c>
      <c r="K40" s="3">
        <v>89</v>
      </c>
      <c r="L40" s="3">
        <v>91</v>
      </c>
      <c r="M40" s="3">
        <v>93</v>
      </c>
      <c r="N40" s="7">
        <f>SUM(B40:M40)/12</f>
        <v>85.416666666666671</v>
      </c>
    </row>
    <row r="41" spans="1:15" s="1" customFormat="1" x14ac:dyDescent="0.25">
      <c r="A41" s="4" t="s">
        <v>16</v>
      </c>
      <c r="B41" s="8">
        <f>1-1</f>
        <v>0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>
        <f>SUM(B41:M41)/12</f>
        <v>0</v>
      </c>
    </row>
    <row r="42" spans="1:15" s="1" customFormat="1" x14ac:dyDescent="0.25">
      <c r="A42" s="4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">
        <f>SUM(B42:M42)/12</f>
        <v>0</v>
      </c>
    </row>
    <row r="43" spans="1:15" s="1" customFormat="1" x14ac:dyDescent="0.25">
      <c r="A43" s="4"/>
      <c r="B43" s="10"/>
      <c r="C43" s="10"/>
      <c r="D43" s="10"/>
      <c r="E43" s="10"/>
      <c r="F43" s="10"/>
      <c r="G43" s="10"/>
      <c r="H43" s="8"/>
      <c r="I43" s="10"/>
      <c r="J43" s="10"/>
      <c r="K43" s="10"/>
      <c r="L43" s="10"/>
      <c r="M43" s="10"/>
      <c r="N43" s="11"/>
      <c r="O43" s="12"/>
    </row>
    <row r="44" spans="1:15" s="1" customFormat="1" x14ac:dyDescent="0.25">
      <c r="A44" s="2" t="s">
        <v>51</v>
      </c>
      <c r="B44" s="3">
        <f>B40+(B42*1.5)+(B41*0.8)</f>
        <v>78</v>
      </c>
      <c r="C44" s="3">
        <f>C40+(C42*1.5)+(C41*0.8)</f>
        <v>82</v>
      </c>
      <c r="D44" s="3">
        <f>D40+(D42*1.5)+(D41*0.8)</f>
        <v>83</v>
      </c>
      <c r="E44" s="3">
        <f>E40+(E42*1.5)+(E41*0.8)</f>
        <v>84</v>
      </c>
      <c r="F44" s="3">
        <f>F40+(F42*1.5)+(F41*0.8)</f>
        <v>84</v>
      </c>
      <c r="G44" s="3">
        <f t="shared" ref="G44:M44" si="3">G40+(G42*1.5)+(G41*0.8)</f>
        <v>84</v>
      </c>
      <c r="H44" s="3">
        <f t="shared" si="3"/>
        <v>85</v>
      </c>
      <c r="I44" s="3">
        <f t="shared" si="3"/>
        <v>85</v>
      </c>
      <c r="J44" s="3">
        <f t="shared" si="3"/>
        <v>87</v>
      </c>
      <c r="K44" s="3">
        <f t="shared" si="3"/>
        <v>89</v>
      </c>
      <c r="L44" s="3">
        <f t="shared" si="3"/>
        <v>91</v>
      </c>
      <c r="M44" s="3">
        <f t="shared" si="3"/>
        <v>93</v>
      </c>
      <c r="N44" s="9">
        <f>SUM(B44:M44)/12</f>
        <v>85.416666666666671</v>
      </c>
    </row>
    <row r="45" spans="1:15" s="1" customFormat="1" x14ac:dyDescent="0.25">
      <c r="A45" s="13" t="s">
        <v>19</v>
      </c>
      <c r="B45" s="14">
        <v>2</v>
      </c>
      <c r="C45" s="15">
        <v>4</v>
      </c>
      <c r="D45" s="15">
        <v>1</v>
      </c>
      <c r="E45" s="15">
        <v>1</v>
      </c>
      <c r="F45" s="15">
        <v>0</v>
      </c>
      <c r="G45" s="15">
        <v>0</v>
      </c>
      <c r="H45" s="15">
        <v>1</v>
      </c>
      <c r="I45" s="15">
        <v>0</v>
      </c>
      <c r="J45" s="15">
        <v>2</v>
      </c>
      <c r="K45" s="15">
        <v>2</v>
      </c>
      <c r="L45" s="15">
        <v>2</v>
      </c>
      <c r="M45" s="15">
        <v>2</v>
      </c>
      <c r="N45" s="16">
        <f>SUM(B45:M45)</f>
        <v>17</v>
      </c>
      <c r="O45" s="15"/>
    </row>
    <row r="46" spans="1:15" x14ac:dyDescent="0.25">
      <c r="A46" s="136"/>
      <c r="B46" s="101" t="s">
        <v>250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</row>
    <row r="47" spans="1:15" x14ac:dyDescent="0.25">
      <c r="B47" t="s">
        <v>57</v>
      </c>
    </row>
    <row r="48" spans="1:15" x14ac:dyDescent="0.25">
      <c r="A48" s="189" t="s">
        <v>126</v>
      </c>
      <c r="B48" s="189"/>
      <c r="C48" s="189"/>
      <c r="D48" s="189"/>
    </row>
    <row r="49" spans="1:15" s="1" customFormat="1" x14ac:dyDescent="0.25">
      <c r="A49" s="2"/>
      <c r="B49" s="3" t="s">
        <v>2</v>
      </c>
      <c r="C49" s="3" t="s">
        <v>3</v>
      </c>
      <c r="D49" s="3" t="s">
        <v>4</v>
      </c>
      <c r="E49" s="3" t="s">
        <v>5</v>
      </c>
      <c r="F49" s="3" t="s">
        <v>6</v>
      </c>
      <c r="G49" s="3" t="s">
        <v>7</v>
      </c>
      <c r="H49" s="3" t="s">
        <v>8</v>
      </c>
      <c r="I49" s="3" t="s">
        <v>9</v>
      </c>
      <c r="J49" s="3" t="s">
        <v>10</v>
      </c>
      <c r="K49" s="3" t="s">
        <v>11</v>
      </c>
      <c r="L49" s="3" t="s">
        <v>12</v>
      </c>
      <c r="M49" s="3" t="s">
        <v>13</v>
      </c>
      <c r="N49" s="4" t="s">
        <v>14</v>
      </c>
    </row>
    <row r="50" spans="1:15" s="1" customForma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5" s="1" customFormat="1" x14ac:dyDescent="0.25">
      <c r="A51" s="4" t="s">
        <v>15</v>
      </c>
      <c r="B51" s="5">
        <f>101-25+4</f>
        <v>80</v>
      </c>
      <c r="C51" s="3">
        <v>84</v>
      </c>
      <c r="D51" s="3">
        <v>85</v>
      </c>
      <c r="E51" s="3">
        <v>86</v>
      </c>
      <c r="F51" s="3">
        <v>86</v>
      </c>
      <c r="G51" s="6">
        <v>86</v>
      </c>
      <c r="H51" s="3">
        <v>87</v>
      </c>
      <c r="I51" s="3">
        <v>87</v>
      </c>
      <c r="J51" s="3">
        <v>89</v>
      </c>
      <c r="K51" s="3">
        <v>91</v>
      </c>
      <c r="L51" s="3">
        <v>92</v>
      </c>
      <c r="M51" s="3">
        <v>94</v>
      </c>
      <c r="N51" s="7">
        <f>SUM(B51:M51)/12</f>
        <v>87.25</v>
      </c>
    </row>
    <row r="52" spans="1:15" s="1" customFormat="1" x14ac:dyDescent="0.25">
      <c r="A52" s="4" t="s">
        <v>16</v>
      </c>
      <c r="B52" s="8">
        <f>1-1</f>
        <v>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>
        <f>SUM(B52:M52)/12</f>
        <v>0</v>
      </c>
    </row>
    <row r="53" spans="1:15" s="1" customFormat="1" x14ac:dyDescent="0.25">
      <c r="A53" s="4" t="s">
        <v>17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9">
        <f>SUM(B53:M53)/12</f>
        <v>0</v>
      </c>
    </row>
    <row r="54" spans="1:15" s="1" customFormat="1" x14ac:dyDescent="0.25">
      <c r="A54" s="4"/>
      <c r="B54" s="10"/>
      <c r="C54" s="10"/>
      <c r="D54" s="10"/>
      <c r="E54" s="10"/>
      <c r="F54" s="10"/>
      <c r="G54" s="10"/>
      <c r="H54" s="8"/>
      <c r="I54" s="10"/>
      <c r="J54" s="10"/>
      <c r="K54" s="10"/>
      <c r="L54" s="10"/>
      <c r="M54" s="10"/>
      <c r="N54" s="11"/>
      <c r="O54" s="12"/>
    </row>
    <row r="55" spans="1:15" s="1" customFormat="1" x14ac:dyDescent="0.25">
      <c r="A55" s="2" t="s">
        <v>51</v>
      </c>
      <c r="B55" s="3">
        <f>B51+(B53*1.5)+(B52*0.8)</f>
        <v>80</v>
      </c>
      <c r="C55" s="3">
        <f>C51+(C53*1.5)+(C52*0.8)</f>
        <v>84</v>
      </c>
      <c r="D55" s="3">
        <f>D51+(D53*1.5)+(D52*0.8)</f>
        <v>85</v>
      </c>
      <c r="E55" s="3">
        <f>E51+(E53*1.5)+(E52*0.8)</f>
        <v>86</v>
      </c>
      <c r="F55" s="3">
        <f>F51+(F53*1.5)+(F52*0.8)</f>
        <v>86</v>
      </c>
      <c r="G55" s="3">
        <f t="shared" ref="G55:M55" si="4">G51+(G53*1.5)+(G52*0.8)</f>
        <v>86</v>
      </c>
      <c r="H55" s="3">
        <f t="shared" si="4"/>
        <v>87</v>
      </c>
      <c r="I55" s="3">
        <f t="shared" si="4"/>
        <v>87</v>
      </c>
      <c r="J55" s="3">
        <f t="shared" si="4"/>
        <v>89</v>
      </c>
      <c r="K55" s="3">
        <f t="shared" si="4"/>
        <v>91</v>
      </c>
      <c r="L55" s="3">
        <f t="shared" si="4"/>
        <v>92</v>
      </c>
      <c r="M55" s="3">
        <f t="shared" si="4"/>
        <v>94</v>
      </c>
      <c r="N55" s="9">
        <f>SUM(B55:M55)/12</f>
        <v>87.25</v>
      </c>
    </row>
    <row r="56" spans="1:15" s="1" customFormat="1" x14ac:dyDescent="0.25">
      <c r="A56" s="13" t="s">
        <v>19</v>
      </c>
      <c r="B56" s="14">
        <v>4</v>
      </c>
      <c r="C56" s="15">
        <v>4</v>
      </c>
      <c r="D56" s="15">
        <v>1</v>
      </c>
      <c r="E56" s="15">
        <v>1</v>
      </c>
      <c r="F56" s="15"/>
      <c r="G56" s="15"/>
      <c r="H56" s="15">
        <v>1</v>
      </c>
      <c r="I56" s="15"/>
      <c r="J56" s="15">
        <v>2</v>
      </c>
      <c r="K56" s="15">
        <v>2</v>
      </c>
      <c r="L56" s="15">
        <v>1</v>
      </c>
      <c r="M56" s="15">
        <v>2</v>
      </c>
      <c r="N56" s="16">
        <f>SUM(B56:M56)</f>
        <v>18</v>
      </c>
      <c r="O56" s="15"/>
    </row>
    <row r="57" spans="1:15" x14ac:dyDescent="0.25">
      <c r="B57" s="50" t="s">
        <v>145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5" x14ac:dyDescent="0.25">
      <c r="B58" s="50" t="s">
        <v>146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1:15" x14ac:dyDescent="0.2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activeCell="N29" sqref="N29"/>
    </sheetView>
  </sheetViews>
  <sheetFormatPr defaultRowHeight="15" x14ac:dyDescent="0.25"/>
  <cols>
    <col min="3" max="3" width="10.42578125" customWidth="1"/>
  </cols>
  <sheetData>
    <row r="1" spans="1:15" x14ac:dyDescent="0.25">
      <c r="A1" s="155" t="s">
        <v>394</v>
      </c>
    </row>
    <row r="3" spans="1:15" x14ac:dyDescent="0.25">
      <c r="A3" s="274" t="s">
        <v>374</v>
      </c>
      <c r="B3" s="274"/>
      <c r="C3" s="274"/>
      <c r="D3" s="274"/>
    </row>
    <row r="4" spans="1:15" s="1" customFormat="1" x14ac:dyDescent="0.25">
      <c r="A4" s="2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4" t="s">
        <v>14</v>
      </c>
    </row>
    <row r="5" spans="1:15" s="1" customForma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5" s="1" customFormat="1" x14ac:dyDescent="0.25">
      <c r="A6" s="4" t="s">
        <v>15</v>
      </c>
      <c r="B6" s="276">
        <v>31.5</v>
      </c>
      <c r="C6" s="277">
        <v>31</v>
      </c>
      <c r="D6" s="277">
        <v>33</v>
      </c>
      <c r="E6" s="277">
        <f>33-1</f>
        <v>32</v>
      </c>
      <c r="F6" s="277">
        <v>32</v>
      </c>
      <c r="G6" s="278">
        <f>32+0.5</f>
        <v>32.5</v>
      </c>
      <c r="H6" s="3">
        <v>33</v>
      </c>
      <c r="I6" s="3">
        <v>34</v>
      </c>
      <c r="J6" s="3">
        <v>34</v>
      </c>
      <c r="K6" s="3">
        <v>34</v>
      </c>
      <c r="L6" s="3">
        <v>34</v>
      </c>
      <c r="M6" s="3">
        <v>35</v>
      </c>
      <c r="N6" s="7">
        <f>SUM(B6:M6)/12</f>
        <v>33</v>
      </c>
    </row>
    <row r="7" spans="1:15" s="1" customFormat="1" x14ac:dyDescent="0.25">
      <c r="A7" s="4" t="s">
        <v>16</v>
      </c>
      <c r="B7" s="279"/>
      <c r="C7" s="279"/>
      <c r="D7" s="279"/>
      <c r="E7" s="279"/>
      <c r="F7" s="279"/>
      <c r="G7" s="279"/>
      <c r="H7" s="8"/>
      <c r="I7" s="8"/>
      <c r="J7" s="8"/>
      <c r="K7" s="8"/>
      <c r="L7" s="8"/>
      <c r="M7" s="8"/>
      <c r="N7" s="9">
        <f>SUM(B7:M7)/12</f>
        <v>0</v>
      </c>
    </row>
    <row r="8" spans="1:15" s="1" customFormat="1" x14ac:dyDescent="0.25">
      <c r="A8" s="4" t="s">
        <v>17</v>
      </c>
      <c r="B8" s="280"/>
      <c r="C8" s="280"/>
      <c r="D8" s="280"/>
      <c r="E8" s="280"/>
      <c r="F8" s="280"/>
      <c r="G8" s="280"/>
      <c r="H8" s="10"/>
      <c r="I8" s="10"/>
      <c r="J8" s="10"/>
      <c r="K8" s="10"/>
      <c r="L8" s="10"/>
      <c r="M8" s="10"/>
      <c r="N8" s="9">
        <f>SUM(B8:M8)/12</f>
        <v>0</v>
      </c>
    </row>
    <row r="9" spans="1:15" s="1" customFormat="1" x14ac:dyDescent="0.25">
      <c r="A9" s="4"/>
      <c r="B9" s="10"/>
      <c r="C9" s="10"/>
      <c r="D9" s="10"/>
      <c r="E9" s="10"/>
      <c r="F9" s="10"/>
      <c r="G9" s="10"/>
      <c r="H9" s="8"/>
      <c r="I9" s="10"/>
      <c r="J9" s="10"/>
      <c r="K9" s="10"/>
      <c r="L9" s="10"/>
      <c r="M9" s="10"/>
      <c r="N9" s="11"/>
      <c r="O9" s="12"/>
    </row>
    <row r="10" spans="1:15" s="1" customFormat="1" x14ac:dyDescent="0.25">
      <c r="A10" s="2" t="s">
        <v>51</v>
      </c>
      <c r="B10" s="3">
        <f>B6+(B8*1.5)+(B7*0.8)</f>
        <v>31.5</v>
      </c>
      <c r="C10" s="3">
        <f>C6+(C8*1.5)+(C7*0.8)</f>
        <v>31</v>
      </c>
      <c r="D10" s="3">
        <f>D6+(D8*1.5)+(D7*0.8)</f>
        <v>33</v>
      </c>
      <c r="E10" s="3">
        <f>E6+(E8*1.5)+(E7*0.8)</f>
        <v>32</v>
      </c>
      <c r="F10" s="3">
        <f>F6+(F8*1.5)+(F7*0.8)</f>
        <v>32</v>
      </c>
      <c r="G10" s="3">
        <f t="shared" ref="G10:M10" si="0">G6+(G8*1.5)+(G7*0.8)</f>
        <v>32.5</v>
      </c>
      <c r="H10" s="3">
        <f t="shared" si="0"/>
        <v>33</v>
      </c>
      <c r="I10" s="3">
        <f t="shared" si="0"/>
        <v>34</v>
      </c>
      <c r="J10" s="3">
        <f t="shared" si="0"/>
        <v>34</v>
      </c>
      <c r="K10" s="3">
        <f t="shared" si="0"/>
        <v>34</v>
      </c>
      <c r="L10" s="3">
        <f t="shared" si="0"/>
        <v>34</v>
      </c>
      <c r="M10" s="3">
        <f t="shared" si="0"/>
        <v>35</v>
      </c>
      <c r="N10" s="9">
        <f>SUM(B10:M10)/12</f>
        <v>33</v>
      </c>
    </row>
    <row r="11" spans="1:15" s="1" customFormat="1" x14ac:dyDescent="0.25">
      <c r="A11" s="13" t="s">
        <v>19</v>
      </c>
      <c r="B11" s="14"/>
      <c r="C11" s="15"/>
      <c r="D11" s="15">
        <v>2</v>
      </c>
      <c r="E11" s="15">
        <v>0</v>
      </c>
      <c r="F11" s="15">
        <v>0</v>
      </c>
      <c r="G11" s="15">
        <v>1</v>
      </c>
      <c r="H11" s="15">
        <v>0</v>
      </c>
      <c r="I11" s="15">
        <v>1</v>
      </c>
      <c r="J11" s="15">
        <v>0</v>
      </c>
      <c r="K11" s="15">
        <v>0</v>
      </c>
      <c r="L11" s="15">
        <v>0</v>
      </c>
      <c r="M11" s="15">
        <v>1</v>
      </c>
      <c r="N11" s="16">
        <f>SUM(B11:M11)</f>
        <v>5</v>
      </c>
      <c r="O11" s="15"/>
    </row>
    <row r="12" spans="1:15" x14ac:dyDescent="0.25">
      <c r="B12" s="43" t="s">
        <v>395</v>
      </c>
      <c r="C12" s="43"/>
      <c r="D12" s="43" t="s">
        <v>59</v>
      </c>
      <c r="E12" s="43"/>
      <c r="F12" s="43"/>
      <c r="G12" s="281">
        <v>42016</v>
      </c>
      <c r="H12" s="43"/>
      <c r="I12" s="43"/>
      <c r="J12" s="43"/>
      <c r="K12" s="43"/>
      <c r="L12" s="43"/>
      <c r="M12" s="43"/>
    </row>
    <row r="14" spans="1:15" x14ac:dyDescent="0.25">
      <c r="A14" s="221" t="s">
        <v>260</v>
      </c>
      <c r="B14" s="221"/>
      <c r="C14" s="221"/>
      <c r="D14" s="221"/>
    </row>
    <row r="15" spans="1:15" s="1" customFormat="1" x14ac:dyDescent="0.25">
      <c r="A15" s="2"/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4" t="s">
        <v>14</v>
      </c>
    </row>
    <row r="16" spans="1:15" s="1" customForma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5" s="1" customFormat="1" x14ac:dyDescent="0.25">
      <c r="A17" s="4" t="s">
        <v>15</v>
      </c>
      <c r="B17" s="5">
        <f>45-14+1</f>
        <v>32</v>
      </c>
      <c r="C17" s="3">
        <v>32</v>
      </c>
      <c r="D17" s="3">
        <v>33</v>
      </c>
      <c r="E17" s="3">
        <v>33</v>
      </c>
      <c r="F17" s="3">
        <v>33</v>
      </c>
      <c r="G17" s="6">
        <v>33</v>
      </c>
      <c r="H17" s="3">
        <v>33</v>
      </c>
      <c r="I17" s="3">
        <v>34</v>
      </c>
      <c r="J17" s="3">
        <v>34</v>
      </c>
      <c r="K17" s="3">
        <v>34</v>
      </c>
      <c r="L17" s="3">
        <v>34</v>
      </c>
      <c r="M17" s="3">
        <v>35</v>
      </c>
      <c r="N17" s="7">
        <f>SUM(B17:M17)/12</f>
        <v>33.333333333333336</v>
      </c>
    </row>
    <row r="18" spans="1:15" s="1" customFormat="1" x14ac:dyDescent="0.25">
      <c r="A18" s="4" t="s">
        <v>16</v>
      </c>
      <c r="B18" s="8">
        <f>1-1</f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9">
        <f>SUM(B18:M18)/12</f>
        <v>0</v>
      </c>
    </row>
    <row r="19" spans="1:15" s="1" customFormat="1" x14ac:dyDescent="0.25">
      <c r="A19" s="4" t="s">
        <v>17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9">
        <f>SUM(B19:M19)/12</f>
        <v>0</v>
      </c>
    </row>
    <row r="20" spans="1:15" s="1" customFormat="1" x14ac:dyDescent="0.25">
      <c r="A20" s="4"/>
      <c r="B20" s="10"/>
      <c r="C20" s="10"/>
      <c r="D20" s="10"/>
      <c r="E20" s="10"/>
      <c r="F20" s="10"/>
      <c r="G20" s="10"/>
      <c r="H20" s="8"/>
      <c r="I20" s="10"/>
      <c r="J20" s="10"/>
      <c r="K20" s="10"/>
      <c r="L20" s="10"/>
      <c r="M20" s="10"/>
      <c r="N20" s="11"/>
      <c r="O20" s="12"/>
    </row>
    <row r="21" spans="1:15" s="1" customFormat="1" x14ac:dyDescent="0.25">
      <c r="A21" s="2" t="s">
        <v>51</v>
      </c>
      <c r="B21" s="3">
        <f>B17+(B19*1.5)+(B18*0.8)</f>
        <v>32</v>
      </c>
      <c r="C21" s="3">
        <f>C17+(C19*1.5)+(C18*0.8)</f>
        <v>32</v>
      </c>
      <c r="D21" s="3">
        <f>D17+(D19*1.5)+(D18*0.8)</f>
        <v>33</v>
      </c>
      <c r="E21" s="3">
        <f>E17+(E19*1.5)+(E18*0.8)</f>
        <v>33</v>
      </c>
      <c r="F21" s="3">
        <f>F17+(F19*1.5)+(F18*0.8)</f>
        <v>33</v>
      </c>
      <c r="G21" s="3">
        <f t="shared" ref="G21:M21" si="1">G17+(G19*1.5)+(G18*0.8)</f>
        <v>33</v>
      </c>
      <c r="H21" s="3">
        <f t="shared" si="1"/>
        <v>33</v>
      </c>
      <c r="I21" s="3">
        <f t="shared" si="1"/>
        <v>34</v>
      </c>
      <c r="J21" s="3">
        <f t="shared" si="1"/>
        <v>34</v>
      </c>
      <c r="K21" s="3">
        <f t="shared" si="1"/>
        <v>34</v>
      </c>
      <c r="L21" s="3">
        <f t="shared" si="1"/>
        <v>34</v>
      </c>
      <c r="M21" s="3">
        <f t="shared" si="1"/>
        <v>35</v>
      </c>
      <c r="N21" s="9">
        <f>SUM(B21:M21)/12</f>
        <v>33.333333333333336</v>
      </c>
    </row>
    <row r="22" spans="1:15" s="1" customFormat="1" x14ac:dyDescent="0.25">
      <c r="A22" s="13" t="s">
        <v>19</v>
      </c>
      <c r="B22" s="14">
        <v>1</v>
      </c>
      <c r="C22" s="15">
        <v>0</v>
      </c>
      <c r="D22" s="15">
        <v>1</v>
      </c>
      <c r="E22" s="15">
        <v>0</v>
      </c>
      <c r="F22" s="15">
        <v>0</v>
      </c>
      <c r="G22" s="15">
        <v>0</v>
      </c>
      <c r="H22" s="15">
        <v>0</v>
      </c>
      <c r="I22" s="15">
        <v>1</v>
      </c>
      <c r="J22" s="15">
        <v>0</v>
      </c>
      <c r="K22" s="15">
        <v>0</v>
      </c>
      <c r="L22" s="15">
        <v>0</v>
      </c>
      <c r="M22" s="15">
        <v>1</v>
      </c>
      <c r="N22" s="16">
        <f>SUM(B22:M22)</f>
        <v>4</v>
      </c>
      <c r="O22" s="15"/>
    </row>
    <row r="23" spans="1:15" x14ac:dyDescent="0.25">
      <c r="B23" s="43" t="s">
        <v>44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1:15" x14ac:dyDescent="0.25">
      <c r="B24" s="43" t="s">
        <v>57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6" spans="1:15" x14ac:dyDescent="0.25">
      <c r="A26" s="251" t="s">
        <v>393</v>
      </c>
      <c r="B26" s="251"/>
      <c r="C26" s="251"/>
      <c r="D26" s="251"/>
    </row>
    <row r="27" spans="1:15" s="1" customFormat="1" x14ac:dyDescent="0.25">
      <c r="A27" s="2"/>
      <c r="B27" s="3" t="s">
        <v>2</v>
      </c>
      <c r="C27" s="3" t="s">
        <v>3</v>
      </c>
      <c r="D27" s="3" t="s">
        <v>4</v>
      </c>
      <c r="E27" s="3" t="s">
        <v>5</v>
      </c>
      <c r="F27" s="3" t="s">
        <v>6</v>
      </c>
      <c r="G27" s="3" t="s">
        <v>7</v>
      </c>
      <c r="H27" s="3" t="s">
        <v>8</v>
      </c>
      <c r="I27" s="3" t="s">
        <v>9</v>
      </c>
      <c r="J27" s="3" t="s">
        <v>10</v>
      </c>
      <c r="K27" s="3" t="s">
        <v>11</v>
      </c>
      <c r="L27" s="3" t="s">
        <v>12</v>
      </c>
      <c r="M27" s="3" t="s">
        <v>13</v>
      </c>
      <c r="N27" s="4" t="s">
        <v>14</v>
      </c>
    </row>
    <row r="28" spans="1:15" s="1" customForma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5" s="1" customFormat="1" x14ac:dyDescent="0.25">
      <c r="A29" s="4" t="s">
        <v>15</v>
      </c>
      <c r="B29" s="5">
        <f>35-12+1</f>
        <v>24</v>
      </c>
      <c r="C29" s="3">
        <v>25</v>
      </c>
      <c r="D29" s="3">
        <v>26</v>
      </c>
      <c r="E29" s="3">
        <v>27</v>
      </c>
      <c r="F29" s="3">
        <v>27</v>
      </c>
      <c r="G29" s="6">
        <v>29</v>
      </c>
      <c r="H29" s="3">
        <v>29</v>
      </c>
      <c r="I29" s="3">
        <v>29</v>
      </c>
      <c r="J29" s="3">
        <v>30</v>
      </c>
      <c r="K29" s="3">
        <v>30</v>
      </c>
      <c r="L29" s="3">
        <v>31</v>
      </c>
      <c r="M29" s="3">
        <v>31</v>
      </c>
      <c r="N29" s="7">
        <f>SUM(B29:M29)/12</f>
        <v>28.166666666666668</v>
      </c>
    </row>
    <row r="30" spans="1:15" s="1" customFormat="1" x14ac:dyDescent="0.25">
      <c r="A30" s="4" t="s">
        <v>16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>
        <f>SUM(B30:M30)/12</f>
        <v>0</v>
      </c>
    </row>
    <row r="31" spans="1:15" s="1" customFormat="1" x14ac:dyDescent="0.25">
      <c r="A31" s="4" t="s">
        <v>17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9">
        <f>SUM(B31:M31)/12</f>
        <v>0</v>
      </c>
    </row>
    <row r="32" spans="1:15" s="1" customFormat="1" x14ac:dyDescent="0.25">
      <c r="A32" s="4"/>
      <c r="B32" s="10"/>
      <c r="C32" s="10"/>
      <c r="D32" s="10"/>
      <c r="E32" s="10"/>
      <c r="F32" s="10"/>
      <c r="G32" s="10"/>
      <c r="H32" s="8"/>
      <c r="I32" s="10"/>
      <c r="J32" s="10"/>
      <c r="K32" s="10"/>
      <c r="L32" s="10"/>
      <c r="M32" s="10"/>
      <c r="N32" s="11"/>
      <c r="O32" s="12"/>
    </row>
    <row r="33" spans="1:15" s="1" customFormat="1" x14ac:dyDescent="0.25">
      <c r="A33" s="2" t="s">
        <v>269</v>
      </c>
      <c r="B33" s="3">
        <f>B29+(B31*1.5)+(B30*0.8)</f>
        <v>24</v>
      </c>
      <c r="C33" s="3">
        <f>C29+(C31*1.5)+(C30*0.8)</f>
        <v>25</v>
      </c>
      <c r="D33" s="3">
        <f>D29+(D31*1.5)+(D30*0.8)</f>
        <v>26</v>
      </c>
      <c r="E33" s="3">
        <f>E29+(E31*1.5)+(E30*0.8)</f>
        <v>27</v>
      </c>
      <c r="F33" s="3">
        <f>F29+(F31*1.5)+(F30*0.8)</f>
        <v>27</v>
      </c>
      <c r="G33" s="3">
        <f t="shared" ref="G33:M33" si="2">G29+(G31*1.5)+(G30*0.8)</f>
        <v>29</v>
      </c>
      <c r="H33" s="3">
        <f t="shared" si="2"/>
        <v>29</v>
      </c>
      <c r="I33" s="3">
        <f t="shared" si="2"/>
        <v>29</v>
      </c>
      <c r="J33" s="3">
        <f t="shared" si="2"/>
        <v>30</v>
      </c>
      <c r="K33" s="3">
        <f t="shared" si="2"/>
        <v>30</v>
      </c>
      <c r="L33" s="3">
        <f t="shared" si="2"/>
        <v>31</v>
      </c>
      <c r="M33" s="3">
        <f t="shared" si="2"/>
        <v>31</v>
      </c>
      <c r="N33" s="9">
        <f>SUM(B33:M33)/12</f>
        <v>28.166666666666668</v>
      </c>
    </row>
    <row r="34" spans="1:15" s="1" customFormat="1" x14ac:dyDescent="0.25">
      <c r="A34" s="13" t="s">
        <v>19</v>
      </c>
      <c r="B34" s="14">
        <v>1</v>
      </c>
      <c r="C34" s="15">
        <v>1</v>
      </c>
      <c r="D34" s="15">
        <v>1</v>
      </c>
      <c r="E34" s="15">
        <v>1</v>
      </c>
      <c r="F34" s="15">
        <v>0</v>
      </c>
      <c r="G34" s="15">
        <v>2</v>
      </c>
      <c r="H34" s="15">
        <v>0</v>
      </c>
      <c r="I34" s="15">
        <v>0</v>
      </c>
      <c r="J34" s="15">
        <v>1</v>
      </c>
      <c r="K34" s="15">
        <v>0</v>
      </c>
      <c r="L34" s="15">
        <v>1</v>
      </c>
      <c r="M34" s="15">
        <v>0</v>
      </c>
      <c r="N34" s="16">
        <f>SUM(B34:M34)</f>
        <v>8</v>
      </c>
      <c r="O34" s="15"/>
    </row>
    <row r="35" spans="1:15" x14ac:dyDescent="0.25">
      <c r="B35" s="43" t="s">
        <v>91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5" x14ac:dyDescent="0.2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5" x14ac:dyDescent="0.25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</row>
    <row r="38" spans="1:15" x14ac:dyDescent="0.25">
      <c r="A38" s="189" t="s">
        <v>126</v>
      </c>
      <c r="B38" s="189"/>
      <c r="C38" s="189"/>
      <c r="D38" s="189"/>
    </row>
    <row r="39" spans="1:15" s="1" customFormat="1" x14ac:dyDescent="0.25">
      <c r="A39" s="2"/>
      <c r="B39" s="3" t="s">
        <v>2</v>
      </c>
      <c r="C39" s="3" t="s">
        <v>3</v>
      </c>
      <c r="D39" s="3" t="s">
        <v>4</v>
      </c>
      <c r="E39" s="3" t="s">
        <v>5</v>
      </c>
      <c r="F39" s="3" t="s">
        <v>6</v>
      </c>
      <c r="G39" s="3" t="s">
        <v>7</v>
      </c>
      <c r="H39" s="3" t="s">
        <v>8</v>
      </c>
      <c r="I39" s="3" t="s">
        <v>9</v>
      </c>
      <c r="J39" s="3" t="s">
        <v>10</v>
      </c>
      <c r="K39" s="3" t="s">
        <v>11</v>
      </c>
      <c r="L39" s="3" t="s">
        <v>12</v>
      </c>
      <c r="M39" s="3" t="s">
        <v>13</v>
      </c>
      <c r="N39" s="4" t="s">
        <v>14</v>
      </c>
    </row>
    <row r="40" spans="1:15" s="1" customForma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5" s="1" customFormat="1" x14ac:dyDescent="0.25">
      <c r="A41" s="4" t="s">
        <v>15</v>
      </c>
      <c r="B41" s="5">
        <f>44-12+1</f>
        <v>33</v>
      </c>
      <c r="C41" s="3">
        <v>33</v>
      </c>
      <c r="D41" s="3">
        <v>34</v>
      </c>
      <c r="E41" s="3">
        <v>34</v>
      </c>
      <c r="F41" s="3">
        <v>34</v>
      </c>
      <c r="G41" s="6">
        <v>34</v>
      </c>
      <c r="H41" s="3">
        <v>34</v>
      </c>
      <c r="I41" s="3">
        <v>35</v>
      </c>
      <c r="J41" s="3">
        <v>35</v>
      </c>
      <c r="K41" s="3">
        <v>35</v>
      </c>
      <c r="L41" s="3">
        <v>35</v>
      </c>
      <c r="M41" s="3">
        <v>36</v>
      </c>
      <c r="N41" s="7">
        <f>SUM(B41:M41)/12</f>
        <v>34.333333333333336</v>
      </c>
    </row>
    <row r="42" spans="1:15" s="1" customFormat="1" x14ac:dyDescent="0.25">
      <c r="A42" s="4" t="s">
        <v>16</v>
      </c>
      <c r="B42" s="8">
        <v>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>
        <f>SUM(B42:M42)/12</f>
        <v>0</v>
      </c>
    </row>
    <row r="43" spans="1:15" s="1" customFormat="1" x14ac:dyDescent="0.25">
      <c r="A43" s="4" t="s">
        <v>17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9">
        <f>SUM(B43:M43)/12</f>
        <v>0</v>
      </c>
    </row>
    <row r="44" spans="1:15" s="1" customFormat="1" x14ac:dyDescent="0.25">
      <c r="A44" s="4"/>
      <c r="B44" s="10"/>
      <c r="C44" s="10"/>
      <c r="D44" s="10"/>
      <c r="E44" s="10"/>
      <c r="F44" s="10"/>
      <c r="G44" s="10"/>
      <c r="H44" s="8"/>
      <c r="I44" s="10"/>
      <c r="J44" s="10"/>
      <c r="K44" s="10"/>
      <c r="L44" s="10"/>
      <c r="M44" s="10"/>
      <c r="N44" s="11"/>
      <c r="O44" s="12"/>
    </row>
    <row r="45" spans="1:15" s="1" customFormat="1" x14ac:dyDescent="0.25">
      <c r="A45" s="2" t="s">
        <v>51</v>
      </c>
      <c r="B45" s="3">
        <f>B41+(B43*1.5)+(B42*0.8)</f>
        <v>33</v>
      </c>
      <c r="C45" s="3">
        <f>C41+(C43*1.5)+(C42*0.8)</f>
        <v>33</v>
      </c>
      <c r="D45" s="3">
        <f>D41+(D43*1.5)+(D42*0.8)</f>
        <v>34</v>
      </c>
      <c r="E45" s="3">
        <f>E41+(E43*1.5)+(E42*0.8)</f>
        <v>34</v>
      </c>
      <c r="F45" s="3">
        <f>F41+(F43*1.5)+(F42*0.8)</f>
        <v>34</v>
      </c>
      <c r="G45" s="3">
        <f t="shared" ref="G45:M45" si="3">G41+(G43*1.5)+(G42*0.8)</f>
        <v>34</v>
      </c>
      <c r="H45" s="3">
        <f t="shared" si="3"/>
        <v>34</v>
      </c>
      <c r="I45" s="3">
        <f t="shared" si="3"/>
        <v>35</v>
      </c>
      <c r="J45" s="3">
        <f t="shared" si="3"/>
        <v>35</v>
      </c>
      <c r="K45" s="3">
        <f t="shared" si="3"/>
        <v>35</v>
      </c>
      <c r="L45" s="3">
        <f t="shared" si="3"/>
        <v>35</v>
      </c>
      <c r="M45" s="3">
        <f t="shared" si="3"/>
        <v>36</v>
      </c>
      <c r="N45" s="9">
        <f>SUM(B45:M45)/12</f>
        <v>34.333333333333336</v>
      </c>
    </row>
    <row r="46" spans="1:15" s="1" customFormat="1" x14ac:dyDescent="0.25">
      <c r="A46" s="13" t="s">
        <v>19</v>
      </c>
      <c r="B46" s="14">
        <v>1</v>
      </c>
      <c r="C46" s="15">
        <v>0</v>
      </c>
      <c r="D46" s="15">
        <v>1</v>
      </c>
      <c r="E46" s="15">
        <v>0</v>
      </c>
      <c r="F46" s="15">
        <v>0</v>
      </c>
      <c r="G46" s="15">
        <v>0</v>
      </c>
      <c r="H46" s="15">
        <v>0</v>
      </c>
      <c r="I46" s="15">
        <v>1</v>
      </c>
      <c r="J46" s="15">
        <v>0</v>
      </c>
      <c r="K46" s="15">
        <v>0</v>
      </c>
      <c r="L46" s="15">
        <v>0</v>
      </c>
      <c r="M46" s="15">
        <v>1</v>
      </c>
      <c r="N46" s="16">
        <f>SUM(B46:M46)</f>
        <v>4</v>
      </c>
      <c r="O46" s="15"/>
    </row>
    <row r="47" spans="1:15" x14ac:dyDescent="0.25">
      <c r="B47" s="43" t="s">
        <v>129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5" x14ac:dyDescent="0.25">
      <c r="B48" s="43" t="s">
        <v>57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5" x14ac:dyDescent="0.2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5" x14ac:dyDescent="0.25">
      <c r="A50" s="35" t="s">
        <v>39</v>
      </c>
      <c r="B50" s="72"/>
      <c r="C50" s="72"/>
      <c r="D50" s="7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x14ac:dyDescent="0.25">
      <c r="A51" s="140" t="s">
        <v>132</v>
      </c>
      <c r="B51" s="141" t="s">
        <v>2</v>
      </c>
      <c r="C51" s="141" t="s">
        <v>3</v>
      </c>
      <c r="D51" s="141" t="s">
        <v>4</v>
      </c>
      <c r="E51" s="141" t="s">
        <v>5</v>
      </c>
      <c r="F51" s="141" t="s">
        <v>6</v>
      </c>
      <c r="G51" s="141" t="s">
        <v>7</v>
      </c>
      <c r="H51" s="141" t="s">
        <v>8</v>
      </c>
      <c r="I51" s="141" t="s">
        <v>9</v>
      </c>
      <c r="J51" s="141" t="s">
        <v>10</v>
      </c>
      <c r="K51" s="141" t="s">
        <v>11</v>
      </c>
      <c r="L51" s="141" t="s">
        <v>12</v>
      </c>
      <c r="M51" s="141" t="s">
        <v>13</v>
      </c>
      <c r="N51" s="142" t="s">
        <v>14</v>
      </c>
    </row>
    <row r="52" spans="1:15" x14ac:dyDescent="0.25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</row>
    <row r="53" spans="1:15" x14ac:dyDescent="0.25">
      <c r="A53" s="142" t="s">
        <v>15</v>
      </c>
      <c r="B53" s="28">
        <f>34-0.75</f>
        <v>33.25</v>
      </c>
      <c r="C53" s="54">
        <f>33+1</f>
        <v>34</v>
      </c>
      <c r="D53" s="54">
        <f>34-0.5</f>
        <v>33.5</v>
      </c>
      <c r="E53" s="54">
        <v>33</v>
      </c>
      <c r="F53" s="54">
        <v>35</v>
      </c>
      <c r="G53" s="215">
        <v>37</v>
      </c>
      <c r="H53" s="54">
        <v>37</v>
      </c>
      <c r="I53" s="54">
        <f>37+2</f>
        <v>39</v>
      </c>
      <c r="J53" s="54">
        <f>39+1-0.25-0.25</f>
        <v>39.5</v>
      </c>
      <c r="K53" s="54">
        <f>38+1</f>
        <v>39</v>
      </c>
      <c r="L53" s="54">
        <f>39+2+0.5</f>
        <v>41.5</v>
      </c>
      <c r="M53" s="3">
        <f>42+3</f>
        <v>45</v>
      </c>
      <c r="N53" s="7">
        <f>SUM(B53:M53)/12</f>
        <v>37.229166666666664</v>
      </c>
    </row>
    <row r="54" spans="1:15" x14ac:dyDescent="0.25">
      <c r="A54" s="142" t="s">
        <v>16</v>
      </c>
      <c r="B54" s="29">
        <v>1</v>
      </c>
      <c r="C54" s="29">
        <v>1</v>
      </c>
      <c r="D54" s="29">
        <v>1</v>
      </c>
      <c r="E54" s="29">
        <v>1</v>
      </c>
      <c r="F54" s="29">
        <v>1</v>
      </c>
      <c r="G54" s="29">
        <v>1</v>
      </c>
      <c r="H54" s="29">
        <v>1</v>
      </c>
      <c r="I54" s="29">
        <v>1</v>
      </c>
      <c r="J54" s="29">
        <v>1</v>
      </c>
      <c r="K54" s="29">
        <v>1</v>
      </c>
      <c r="L54" s="29">
        <v>1</v>
      </c>
      <c r="M54" s="8">
        <v>1</v>
      </c>
      <c r="N54" s="9">
        <f>SUM(B54:M54)/12</f>
        <v>1</v>
      </c>
    </row>
    <row r="55" spans="1:15" x14ac:dyDescent="0.25">
      <c r="A55" s="142" t="s">
        <v>17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9">
        <f>SUM(B55:M55)/12</f>
        <v>0</v>
      </c>
    </row>
    <row r="56" spans="1:15" x14ac:dyDescent="0.25">
      <c r="A56" s="142"/>
      <c r="B56" s="10"/>
      <c r="C56" s="10"/>
      <c r="D56" s="10"/>
      <c r="E56" s="10"/>
      <c r="F56" s="10"/>
      <c r="G56" s="10"/>
      <c r="H56" s="8"/>
      <c r="I56" s="10"/>
      <c r="J56" s="10"/>
      <c r="K56" s="10"/>
      <c r="L56" s="10"/>
      <c r="M56" s="10"/>
      <c r="N56" s="11"/>
    </row>
    <row r="57" spans="1:15" x14ac:dyDescent="0.25">
      <c r="A57" s="140" t="s">
        <v>51</v>
      </c>
      <c r="B57" s="3">
        <f>B53+(B55*1.5)+(B54*0.8)</f>
        <v>34.049999999999997</v>
      </c>
      <c r="C57" s="3">
        <f>C53+(C55*1.5)+(C54*0.8)</f>
        <v>34.799999999999997</v>
      </c>
      <c r="D57" s="3">
        <f>D53+(D55*1.5)+(D54*0.8)</f>
        <v>34.299999999999997</v>
      </c>
      <c r="E57" s="3">
        <f>E53+(E55*1.5)+(E54*0.8)</f>
        <v>33.799999999999997</v>
      </c>
      <c r="F57" s="3">
        <f>F53+(F55*1.5)+(F54*0.8)</f>
        <v>35.799999999999997</v>
      </c>
      <c r="G57" s="3">
        <f t="shared" ref="G57:M57" si="4">G53+(G55*1.5)+(G54*0.8)</f>
        <v>37.799999999999997</v>
      </c>
      <c r="H57" s="3">
        <f t="shared" si="4"/>
        <v>37.799999999999997</v>
      </c>
      <c r="I57" s="3">
        <f t="shared" si="4"/>
        <v>39.799999999999997</v>
      </c>
      <c r="J57" s="3">
        <f t="shared" si="4"/>
        <v>40.299999999999997</v>
      </c>
      <c r="K57" s="3">
        <f t="shared" si="4"/>
        <v>39.799999999999997</v>
      </c>
      <c r="L57" s="3">
        <f t="shared" si="4"/>
        <v>42.3</v>
      </c>
      <c r="M57" s="3">
        <f t="shared" si="4"/>
        <v>45.8</v>
      </c>
      <c r="N57" s="9">
        <f>SUM(B57:M57)/12</f>
        <v>38.029166666666676</v>
      </c>
    </row>
    <row r="58" spans="1:15" x14ac:dyDescent="0.25">
      <c r="A58" s="67" t="s">
        <v>19</v>
      </c>
      <c r="B58" s="80"/>
      <c r="C58" s="79">
        <v>1</v>
      </c>
      <c r="D58" s="79"/>
      <c r="E58" s="79"/>
      <c r="F58" s="79">
        <v>2</v>
      </c>
      <c r="G58" s="79">
        <v>2</v>
      </c>
      <c r="H58" s="79"/>
      <c r="I58" s="79">
        <v>2</v>
      </c>
      <c r="J58" s="79">
        <v>1</v>
      </c>
      <c r="K58" s="79">
        <v>1</v>
      </c>
      <c r="L58" s="79">
        <v>3</v>
      </c>
      <c r="M58" s="79">
        <v>3</v>
      </c>
      <c r="N58" s="68">
        <v>7</v>
      </c>
      <c r="O58" s="62"/>
    </row>
    <row r="59" spans="1:15" x14ac:dyDescent="0.25">
      <c r="B59" s="84" t="s">
        <v>130</v>
      </c>
      <c r="C59" s="84"/>
      <c r="D59" s="84" t="s">
        <v>131</v>
      </c>
      <c r="E59" s="84"/>
      <c r="F59" s="84"/>
      <c r="G59" s="84"/>
      <c r="H59" s="84"/>
      <c r="J59" s="84" t="s">
        <v>240</v>
      </c>
      <c r="K59" s="84"/>
      <c r="L59" s="84" t="s">
        <v>287</v>
      </c>
      <c r="M59" s="84"/>
    </row>
  </sheetData>
  <pageMargins left="0" right="0" top="0.15748031496062992" bottom="0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workbookViewId="0">
      <selection activeCell="G13" sqref="G13"/>
    </sheetView>
  </sheetViews>
  <sheetFormatPr defaultRowHeight="15" x14ac:dyDescent="0.25"/>
  <sheetData>
    <row r="1" spans="1:15" x14ac:dyDescent="0.25">
      <c r="A1" s="155" t="s">
        <v>389</v>
      </c>
    </row>
    <row r="2" spans="1:15" x14ac:dyDescent="0.25">
      <c r="A2" s="155"/>
    </row>
    <row r="3" spans="1:15" x14ac:dyDescent="0.25">
      <c r="A3" s="274" t="s">
        <v>374</v>
      </c>
      <c r="B3" s="274"/>
      <c r="C3" s="274"/>
      <c r="D3" s="274"/>
    </row>
    <row r="4" spans="1:15" s="1" customFormat="1" x14ac:dyDescent="0.25">
      <c r="A4" s="2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4" t="s">
        <v>14</v>
      </c>
    </row>
    <row r="5" spans="1:15" s="1" customForma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5" s="1" customFormat="1" x14ac:dyDescent="0.25">
      <c r="A6" s="4" t="s">
        <v>15</v>
      </c>
      <c r="B6" s="276">
        <v>58</v>
      </c>
      <c r="C6" s="277">
        <f>59+2</f>
        <v>61</v>
      </c>
      <c r="D6" s="277">
        <v>63</v>
      </c>
      <c r="E6" s="277">
        <f>63-1</f>
        <v>62</v>
      </c>
      <c r="F6" s="277">
        <v>63</v>
      </c>
      <c r="G6" s="278">
        <v>63</v>
      </c>
      <c r="H6" s="3">
        <v>64</v>
      </c>
      <c r="I6" s="3">
        <v>64</v>
      </c>
      <c r="J6" s="3">
        <v>67</v>
      </c>
      <c r="K6" s="3">
        <v>68</v>
      </c>
      <c r="L6" s="3">
        <v>69</v>
      </c>
      <c r="M6" s="3">
        <v>71</v>
      </c>
      <c r="N6" s="7">
        <f>SUM(B6:M6)/12</f>
        <v>64.416666666666671</v>
      </c>
    </row>
    <row r="7" spans="1:15" s="1" customFormat="1" x14ac:dyDescent="0.25">
      <c r="A7" s="4" t="s">
        <v>16</v>
      </c>
      <c r="B7" s="279">
        <v>1</v>
      </c>
      <c r="C7" s="279">
        <f>1+1</f>
        <v>2</v>
      </c>
      <c r="D7" s="279">
        <v>2</v>
      </c>
      <c r="E7" s="279">
        <v>2</v>
      </c>
      <c r="F7" s="279">
        <v>2</v>
      </c>
      <c r="G7" s="279">
        <v>2</v>
      </c>
      <c r="H7" s="8">
        <v>2</v>
      </c>
      <c r="I7" s="8">
        <v>2</v>
      </c>
      <c r="J7" s="8">
        <v>2</v>
      </c>
      <c r="K7" s="8">
        <v>2</v>
      </c>
      <c r="L7" s="8">
        <v>2</v>
      </c>
      <c r="M7" s="8">
        <v>2</v>
      </c>
      <c r="N7" s="9">
        <f>SUM(B7:M7)/12</f>
        <v>1.9166666666666667</v>
      </c>
    </row>
    <row r="8" spans="1:15" s="1" customFormat="1" x14ac:dyDescent="0.25">
      <c r="A8" s="4" t="s">
        <v>17</v>
      </c>
      <c r="B8" s="10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>
        <f>SUM(B8:M8)/12</f>
        <v>8.3333333333333329E-2</v>
      </c>
    </row>
    <row r="9" spans="1:15" s="1" customFormat="1" x14ac:dyDescent="0.25">
      <c r="A9" s="4"/>
      <c r="B9" s="10"/>
      <c r="C9" s="10"/>
      <c r="D9" s="10"/>
      <c r="E9" s="10"/>
      <c r="F9" s="10"/>
      <c r="G9" s="10"/>
      <c r="H9" s="8"/>
      <c r="I9" s="10"/>
      <c r="J9" s="10"/>
      <c r="K9" s="10"/>
      <c r="L9" s="10"/>
      <c r="M9" s="10"/>
      <c r="N9" s="11"/>
      <c r="O9" s="12"/>
    </row>
    <row r="10" spans="1:15" s="1" customFormat="1" x14ac:dyDescent="0.25">
      <c r="A10" s="2" t="s">
        <v>51</v>
      </c>
      <c r="B10" s="3">
        <f>B6+(B8*1.5)+(B7*0.8)</f>
        <v>60.3</v>
      </c>
      <c r="C10" s="3">
        <f>C6+(C8*1.5)+(C7*0.8)</f>
        <v>62.6</v>
      </c>
      <c r="D10" s="3">
        <f>D6+(D8*1.5)+(D7*0.8)</f>
        <v>64.599999999999994</v>
      </c>
      <c r="E10" s="3">
        <f>E6+(E8*1.5)+(E7*0.8)</f>
        <v>63.6</v>
      </c>
      <c r="F10" s="3">
        <f>F6+(F8*1.5)+(F7*0.8)</f>
        <v>64.599999999999994</v>
      </c>
      <c r="G10" s="3">
        <f t="shared" ref="G10:M10" si="0">G6+(G8*1.5)+(G7*0.8)</f>
        <v>64.599999999999994</v>
      </c>
      <c r="H10" s="3">
        <f t="shared" si="0"/>
        <v>65.599999999999994</v>
      </c>
      <c r="I10" s="3">
        <f t="shared" si="0"/>
        <v>65.599999999999994</v>
      </c>
      <c r="J10" s="3">
        <f t="shared" si="0"/>
        <v>68.599999999999994</v>
      </c>
      <c r="K10" s="3">
        <f t="shared" si="0"/>
        <v>69.599999999999994</v>
      </c>
      <c r="L10" s="3">
        <f t="shared" si="0"/>
        <v>70.599999999999994</v>
      </c>
      <c r="M10" s="3">
        <f t="shared" si="0"/>
        <v>72.599999999999994</v>
      </c>
      <c r="N10" s="9">
        <f>SUM(B10:M10)/12</f>
        <v>66.075000000000003</v>
      </c>
    </row>
    <row r="11" spans="1:15" s="1" customFormat="1" x14ac:dyDescent="0.25">
      <c r="A11" s="13" t="s">
        <v>19</v>
      </c>
      <c r="B11" s="32">
        <v>4</v>
      </c>
      <c r="C11" s="33">
        <v>3</v>
      </c>
      <c r="D11" s="33">
        <v>2</v>
      </c>
      <c r="E11" s="33">
        <v>0</v>
      </c>
      <c r="F11" s="33">
        <v>1</v>
      </c>
      <c r="G11" s="33">
        <v>0</v>
      </c>
      <c r="H11" s="33">
        <v>1</v>
      </c>
      <c r="I11" s="33">
        <v>0</v>
      </c>
      <c r="J11" s="33">
        <v>3</v>
      </c>
      <c r="K11" s="33">
        <v>1</v>
      </c>
      <c r="L11" s="33">
        <v>1</v>
      </c>
      <c r="M11" s="33">
        <v>2</v>
      </c>
      <c r="N11" s="16">
        <f>SUM(B11:M11)</f>
        <v>18</v>
      </c>
      <c r="O11" s="15"/>
    </row>
    <row r="12" spans="1:15" x14ac:dyDescent="0.25">
      <c r="B12" s="43">
        <v>-70911</v>
      </c>
      <c r="C12" s="43" t="s">
        <v>382</v>
      </c>
      <c r="D12" s="43" t="s">
        <v>59</v>
      </c>
      <c r="E12" s="43"/>
      <c r="F12" s="43"/>
      <c r="G12" s="43"/>
      <c r="H12" s="43"/>
      <c r="I12" s="43"/>
      <c r="J12" s="43"/>
      <c r="K12" s="43"/>
      <c r="L12" s="43"/>
      <c r="M12" s="43"/>
    </row>
    <row r="13" spans="1:15" x14ac:dyDescent="0.25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5" x14ac:dyDescent="0.25">
      <c r="A14" s="221" t="s">
        <v>260</v>
      </c>
      <c r="B14" s="221"/>
      <c r="C14" s="221"/>
      <c r="D14" s="221"/>
    </row>
    <row r="15" spans="1:15" s="1" customFormat="1" x14ac:dyDescent="0.25">
      <c r="A15" s="2"/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4" t="s">
        <v>14</v>
      </c>
    </row>
    <row r="16" spans="1:15" s="1" customForma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9" s="1" customFormat="1" x14ac:dyDescent="0.25">
      <c r="A17" s="4" t="s">
        <v>15</v>
      </c>
      <c r="B17" s="5">
        <f>72-17+3</f>
        <v>58</v>
      </c>
      <c r="C17" s="3">
        <f>59+3</f>
        <v>62</v>
      </c>
      <c r="D17" s="3">
        <v>63</v>
      </c>
      <c r="E17" s="3">
        <v>63</v>
      </c>
      <c r="F17" s="3">
        <v>63</v>
      </c>
      <c r="G17" s="6">
        <v>63</v>
      </c>
      <c r="H17" s="3">
        <v>64</v>
      </c>
      <c r="I17" s="3">
        <v>64</v>
      </c>
      <c r="J17" s="3">
        <v>66</v>
      </c>
      <c r="K17" s="3">
        <v>67</v>
      </c>
      <c r="L17" s="3">
        <v>68</v>
      </c>
      <c r="M17" s="3">
        <v>70</v>
      </c>
      <c r="N17" s="7">
        <f>SUM(B17:M17)/12</f>
        <v>64.25</v>
      </c>
    </row>
    <row r="18" spans="1:19" s="1" customFormat="1" x14ac:dyDescent="0.25">
      <c r="A18" s="4" t="s">
        <v>16</v>
      </c>
      <c r="B18" s="8">
        <f>2-1</f>
        <v>1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9">
        <f>SUM(B18:M18)/12</f>
        <v>1</v>
      </c>
    </row>
    <row r="19" spans="1:19" s="1" customFormat="1" x14ac:dyDescent="0.25">
      <c r="A19" s="4" t="s">
        <v>17</v>
      </c>
      <c r="B19" s="10">
        <v>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9">
        <f>SUM(B19:M19)/12</f>
        <v>8.3333333333333329E-2</v>
      </c>
    </row>
    <row r="20" spans="1:19" s="1" customFormat="1" x14ac:dyDescent="0.25">
      <c r="A20" s="4"/>
      <c r="B20" s="10"/>
      <c r="C20" s="10"/>
      <c r="D20" s="10"/>
      <c r="E20" s="10"/>
      <c r="F20" s="10"/>
      <c r="G20" s="10"/>
      <c r="H20" s="8"/>
      <c r="I20" s="10"/>
      <c r="J20" s="10"/>
      <c r="K20" s="10"/>
      <c r="L20" s="10"/>
      <c r="M20" s="10"/>
      <c r="N20" s="11"/>
      <c r="O20" s="12"/>
    </row>
    <row r="21" spans="1:19" s="1" customFormat="1" x14ac:dyDescent="0.25">
      <c r="A21" s="2" t="s">
        <v>51</v>
      </c>
      <c r="B21" s="3">
        <f>B17+(B19*1.5)+(B18*0.8)</f>
        <v>60.3</v>
      </c>
      <c r="C21" s="3">
        <f>C17+(C19*1.5)+(C18*0.8)</f>
        <v>62.8</v>
      </c>
      <c r="D21" s="3">
        <f>D17+(D19*1.5)+(D18*0.8)</f>
        <v>63.8</v>
      </c>
      <c r="E21" s="3">
        <f>E17+(E19*1.5)+(E18*0.8)</f>
        <v>63.8</v>
      </c>
      <c r="F21" s="3">
        <f>F17+(F19*1.5)+(F18*0.8)</f>
        <v>63.8</v>
      </c>
      <c r="G21" s="3">
        <f t="shared" ref="G21:M21" si="1">G17+(G19*1.5)+(G18*0.8)</f>
        <v>63.8</v>
      </c>
      <c r="H21" s="3">
        <f t="shared" si="1"/>
        <v>64.8</v>
      </c>
      <c r="I21" s="3">
        <f t="shared" si="1"/>
        <v>64.8</v>
      </c>
      <c r="J21" s="3">
        <f t="shared" si="1"/>
        <v>66.8</v>
      </c>
      <c r="K21" s="3">
        <f t="shared" si="1"/>
        <v>67.8</v>
      </c>
      <c r="L21" s="3">
        <f t="shared" si="1"/>
        <v>68.8</v>
      </c>
      <c r="M21" s="3">
        <f t="shared" si="1"/>
        <v>70.8</v>
      </c>
      <c r="N21" s="9">
        <f>SUM(B21:M21)/12</f>
        <v>65.174999999999997</v>
      </c>
    </row>
    <row r="22" spans="1:19" s="1" customFormat="1" x14ac:dyDescent="0.25">
      <c r="A22" s="13" t="s">
        <v>19</v>
      </c>
      <c r="B22" s="14">
        <v>4</v>
      </c>
      <c r="C22" s="15">
        <v>2</v>
      </c>
      <c r="D22" s="15">
        <v>1</v>
      </c>
      <c r="E22" s="15">
        <v>0</v>
      </c>
      <c r="F22" s="15">
        <v>0</v>
      </c>
      <c r="G22" s="15">
        <v>0</v>
      </c>
      <c r="H22" s="15">
        <v>1</v>
      </c>
      <c r="I22" s="15">
        <v>0</v>
      </c>
      <c r="J22" s="15">
        <v>2</v>
      </c>
      <c r="K22" s="15">
        <v>1</v>
      </c>
      <c r="L22" s="15">
        <v>1</v>
      </c>
      <c r="M22" s="15">
        <v>2</v>
      </c>
      <c r="N22" s="16">
        <f>SUM(B22:M22)</f>
        <v>14</v>
      </c>
      <c r="O22" s="15"/>
    </row>
    <row r="23" spans="1:19" x14ac:dyDescent="0.25">
      <c r="B23">
        <v>-70911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1:19" x14ac:dyDescent="0.25">
      <c r="B24" s="43" t="s">
        <v>21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19" x14ac:dyDescent="0.25">
      <c r="A25" s="106"/>
      <c r="B25" s="43" t="s">
        <v>57</v>
      </c>
      <c r="C25" s="114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36"/>
      <c r="P25" s="136"/>
      <c r="Q25" s="136"/>
      <c r="R25" s="136"/>
      <c r="S25" s="136"/>
    </row>
    <row r="26" spans="1:19" x14ac:dyDescent="0.25">
      <c r="A26" s="106"/>
      <c r="B26" s="43"/>
      <c r="C26" s="114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36"/>
      <c r="P26" s="136"/>
      <c r="Q26" s="136"/>
      <c r="R26" s="136"/>
      <c r="S26" s="136"/>
    </row>
    <row r="27" spans="1:19" x14ac:dyDescent="0.25">
      <c r="A27" s="251" t="s">
        <v>375</v>
      </c>
      <c r="B27" s="251"/>
      <c r="C27" s="251"/>
      <c r="D27" s="251"/>
    </row>
    <row r="28" spans="1:19" s="1" customFormat="1" x14ac:dyDescent="0.25">
      <c r="A28" s="2"/>
      <c r="B28" s="3" t="s">
        <v>2</v>
      </c>
      <c r="C28" s="3" t="s">
        <v>3</v>
      </c>
      <c r="D28" s="3" t="s">
        <v>4</v>
      </c>
      <c r="E28" s="3" t="s">
        <v>5</v>
      </c>
      <c r="F28" s="3" t="s">
        <v>6</v>
      </c>
      <c r="G28" s="3" t="s">
        <v>7</v>
      </c>
      <c r="H28" s="3" t="s">
        <v>8</v>
      </c>
      <c r="I28" s="3" t="s">
        <v>9</v>
      </c>
      <c r="J28" s="3" t="s">
        <v>10</v>
      </c>
      <c r="K28" s="3" t="s">
        <v>11</v>
      </c>
      <c r="L28" s="3" t="s">
        <v>12</v>
      </c>
      <c r="M28" s="3" t="s">
        <v>13</v>
      </c>
      <c r="N28" s="4" t="s">
        <v>14</v>
      </c>
    </row>
    <row r="29" spans="1:19" s="1" customForma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9" s="1" customFormat="1" x14ac:dyDescent="0.25">
      <c r="A30" s="4" t="s">
        <v>15</v>
      </c>
      <c r="B30" s="5">
        <f>71-25+2</f>
        <v>48</v>
      </c>
      <c r="C30" s="3">
        <v>49</v>
      </c>
      <c r="D30" s="3">
        <v>49</v>
      </c>
      <c r="E30" s="3">
        <v>50</v>
      </c>
      <c r="F30" s="3">
        <v>53</v>
      </c>
      <c r="G30" s="6">
        <v>55</v>
      </c>
      <c r="H30" s="3">
        <v>55</v>
      </c>
      <c r="I30" s="3">
        <v>56</v>
      </c>
      <c r="J30" s="3">
        <v>56</v>
      </c>
      <c r="K30" s="3">
        <v>59</v>
      </c>
      <c r="L30" s="3">
        <v>62</v>
      </c>
      <c r="M30" s="3">
        <v>63</v>
      </c>
      <c r="N30" s="7">
        <f>SUM(B30:M30)/12</f>
        <v>54.583333333333336</v>
      </c>
    </row>
    <row r="31" spans="1:19" s="1" customFormat="1" x14ac:dyDescent="0.25">
      <c r="A31" s="4" t="s">
        <v>16</v>
      </c>
      <c r="B31" s="8">
        <f>2-1</f>
        <v>1</v>
      </c>
      <c r="C31" s="8">
        <v>1</v>
      </c>
      <c r="D31" s="8">
        <v>1</v>
      </c>
      <c r="E31" s="8">
        <v>1</v>
      </c>
      <c r="F31" s="8">
        <v>1</v>
      </c>
      <c r="G31" s="8">
        <v>1</v>
      </c>
      <c r="H31" s="8">
        <v>1</v>
      </c>
      <c r="I31" s="8">
        <v>1</v>
      </c>
      <c r="J31" s="8">
        <v>1</v>
      </c>
      <c r="K31" s="8">
        <v>1</v>
      </c>
      <c r="L31" s="8">
        <v>1</v>
      </c>
      <c r="M31" s="8">
        <v>1</v>
      </c>
      <c r="N31" s="9">
        <f>SUM(B31:M31)/12</f>
        <v>1</v>
      </c>
    </row>
    <row r="32" spans="1:19" s="1" customFormat="1" x14ac:dyDescent="0.25">
      <c r="A32" s="4" t="s">
        <v>17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9">
        <f>SUM(B32:M32)/12</f>
        <v>0</v>
      </c>
    </row>
    <row r="33" spans="1:19" s="1" customFormat="1" x14ac:dyDescent="0.25">
      <c r="A33" s="4"/>
      <c r="B33" s="10"/>
      <c r="C33" s="10"/>
      <c r="D33" s="10"/>
      <c r="E33" s="10"/>
      <c r="F33" s="10"/>
      <c r="G33" s="10"/>
      <c r="H33" s="8"/>
      <c r="I33" s="10"/>
      <c r="J33" s="10"/>
      <c r="K33" s="10"/>
      <c r="L33" s="10"/>
      <c r="M33" s="10"/>
      <c r="N33" s="11"/>
      <c r="O33" s="12"/>
    </row>
    <row r="34" spans="1:19" s="1" customFormat="1" x14ac:dyDescent="0.25">
      <c r="A34" s="2" t="s">
        <v>269</v>
      </c>
      <c r="B34" s="3">
        <f>B30+(B32*1.5)+(B31*0.8)</f>
        <v>48.8</v>
      </c>
      <c r="C34" s="3">
        <f>C30+(C32*1.5)+(C31*0.8)</f>
        <v>49.8</v>
      </c>
      <c r="D34" s="3">
        <f>D30+(D32*1.5)+(D31*0.8)</f>
        <v>49.8</v>
      </c>
      <c r="E34" s="3">
        <f>E30+(E32*1.5)+(E31*0.8)</f>
        <v>50.8</v>
      </c>
      <c r="F34" s="3">
        <f>F30+(F32*1.5)+(F31*0.8)</f>
        <v>53.8</v>
      </c>
      <c r="G34" s="3">
        <f t="shared" ref="G34:M34" si="2">G30+(G32*1.5)+(G31*0.8)</f>
        <v>55.8</v>
      </c>
      <c r="H34" s="3">
        <f t="shared" si="2"/>
        <v>55.8</v>
      </c>
      <c r="I34" s="3">
        <f t="shared" si="2"/>
        <v>56.8</v>
      </c>
      <c r="J34" s="3">
        <f t="shared" si="2"/>
        <v>56.8</v>
      </c>
      <c r="K34" s="3">
        <f t="shared" si="2"/>
        <v>59.8</v>
      </c>
      <c r="L34" s="3">
        <f t="shared" si="2"/>
        <v>62.8</v>
      </c>
      <c r="M34" s="3">
        <f t="shared" si="2"/>
        <v>63.8</v>
      </c>
      <c r="N34" s="9">
        <f>SUM(B34:M34)/12</f>
        <v>55.383333333333326</v>
      </c>
    </row>
    <row r="35" spans="1:19" s="1" customFormat="1" x14ac:dyDescent="0.25">
      <c r="A35" s="13" t="s">
        <v>19</v>
      </c>
      <c r="B35" s="14">
        <v>2</v>
      </c>
      <c r="C35" s="15">
        <v>1</v>
      </c>
      <c r="D35" s="15">
        <v>0</v>
      </c>
      <c r="E35" s="15">
        <v>1</v>
      </c>
      <c r="F35" s="15">
        <v>3</v>
      </c>
      <c r="G35" s="15">
        <v>2</v>
      </c>
      <c r="H35" s="15">
        <v>0</v>
      </c>
      <c r="I35" s="15">
        <v>1</v>
      </c>
      <c r="J35" s="15">
        <v>0</v>
      </c>
      <c r="K35" s="15">
        <v>3</v>
      </c>
      <c r="L35" s="15">
        <v>3</v>
      </c>
      <c r="M35" s="15">
        <v>1</v>
      </c>
      <c r="N35" s="16">
        <f>SUM(B35:M35)</f>
        <v>17</v>
      </c>
      <c r="O35" s="15"/>
    </row>
    <row r="36" spans="1:19" x14ac:dyDescent="0.25">
      <c r="B36" s="43" t="s">
        <v>145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9" x14ac:dyDescent="0.25">
      <c r="B37" s="43" t="s">
        <v>390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9" x14ac:dyDescent="0.25">
      <c r="A38" s="106"/>
      <c r="B38" s="43"/>
      <c r="C38" s="114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36"/>
      <c r="P38" s="136"/>
      <c r="Q38" s="136"/>
      <c r="R38" s="136"/>
      <c r="S38" s="136"/>
    </row>
    <row r="39" spans="1:19" x14ac:dyDescent="0.25">
      <c r="A39" s="106"/>
      <c r="B39" s="109"/>
      <c r="C39" s="114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36"/>
      <c r="P39" s="136"/>
      <c r="Q39" s="136"/>
      <c r="R39" s="136"/>
      <c r="S39" s="136"/>
    </row>
    <row r="40" spans="1:19" x14ac:dyDescent="0.25">
      <c r="A40" s="229" t="s">
        <v>239</v>
      </c>
      <c r="B40" s="229"/>
      <c r="C40" s="229"/>
      <c r="D40" s="229"/>
    </row>
    <row r="41" spans="1:19" s="1" customFormat="1" x14ac:dyDescent="0.25">
      <c r="A41" s="2"/>
      <c r="B41" s="3" t="s">
        <v>2</v>
      </c>
      <c r="C41" s="3" t="s">
        <v>3</v>
      </c>
      <c r="D41" s="3" t="s">
        <v>4</v>
      </c>
      <c r="E41" s="3" t="s">
        <v>5</v>
      </c>
      <c r="F41" s="3" t="s">
        <v>6</v>
      </c>
      <c r="G41" s="3" t="s">
        <v>7</v>
      </c>
      <c r="H41" s="3" t="s">
        <v>8</v>
      </c>
      <c r="I41" s="3" t="s">
        <v>9</v>
      </c>
      <c r="J41" s="3" t="s">
        <v>10</v>
      </c>
      <c r="K41" s="3" t="s">
        <v>11</v>
      </c>
      <c r="L41" s="3" t="s">
        <v>12</v>
      </c>
      <c r="M41" s="3" t="s">
        <v>13</v>
      </c>
      <c r="N41" s="4" t="s">
        <v>14</v>
      </c>
    </row>
    <row r="42" spans="1:19" s="1" customForma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9" s="1" customFormat="1" x14ac:dyDescent="0.25">
      <c r="A43" s="4" t="s">
        <v>15</v>
      </c>
      <c r="B43" s="5">
        <f>72-17+2</f>
        <v>57</v>
      </c>
      <c r="C43" s="3">
        <v>59</v>
      </c>
      <c r="D43" s="3">
        <v>60</v>
      </c>
      <c r="E43" s="3">
        <v>60</v>
      </c>
      <c r="F43" s="3">
        <v>60</v>
      </c>
      <c r="G43" s="6">
        <v>60</v>
      </c>
      <c r="H43" s="3">
        <v>61</v>
      </c>
      <c r="I43" s="3">
        <v>61</v>
      </c>
      <c r="J43" s="3">
        <v>62</v>
      </c>
      <c r="K43" s="3">
        <v>63</v>
      </c>
      <c r="L43" s="3">
        <v>64</v>
      </c>
      <c r="M43" s="3">
        <v>66</v>
      </c>
      <c r="N43" s="7">
        <f>SUM(B43:M43)/12</f>
        <v>61.083333333333336</v>
      </c>
    </row>
    <row r="44" spans="1:19" s="1" customFormat="1" x14ac:dyDescent="0.25">
      <c r="A44" s="4" t="s">
        <v>16</v>
      </c>
      <c r="B44" s="8">
        <f>2-1</f>
        <v>1</v>
      </c>
      <c r="C44" s="8">
        <v>1</v>
      </c>
      <c r="D44" s="8">
        <v>1</v>
      </c>
      <c r="E44" s="8">
        <v>1</v>
      </c>
      <c r="F44" s="8">
        <v>1</v>
      </c>
      <c r="G44" s="8">
        <v>1</v>
      </c>
      <c r="H44" s="8">
        <v>1</v>
      </c>
      <c r="I44" s="8">
        <v>1</v>
      </c>
      <c r="J44" s="8"/>
      <c r="K44" s="8">
        <v>1</v>
      </c>
      <c r="L44" s="8">
        <v>1</v>
      </c>
      <c r="M44" s="8">
        <v>1</v>
      </c>
      <c r="N44" s="9">
        <f>SUM(B44:M44)/12</f>
        <v>0.91666666666666663</v>
      </c>
    </row>
    <row r="45" spans="1:19" s="1" customFormat="1" x14ac:dyDescent="0.25">
      <c r="A45" s="4" t="s">
        <v>17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9">
        <f>SUM(B45:M45)/12</f>
        <v>0</v>
      </c>
    </row>
    <row r="46" spans="1:19" s="1" customFormat="1" x14ac:dyDescent="0.25">
      <c r="A46" s="4"/>
      <c r="B46" s="10"/>
      <c r="C46" s="10"/>
      <c r="D46" s="10"/>
      <c r="E46" s="10"/>
      <c r="F46" s="10"/>
      <c r="G46" s="10"/>
      <c r="H46" s="8"/>
      <c r="I46" s="10"/>
      <c r="J46" s="10"/>
      <c r="K46" s="10"/>
      <c r="L46" s="10"/>
      <c r="M46" s="10"/>
      <c r="N46" s="11"/>
      <c r="O46" s="12"/>
    </row>
    <row r="47" spans="1:19" s="1" customFormat="1" x14ac:dyDescent="0.25">
      <c r="A47" s="2" t="s">
        <v>51</v>
      </c>
      <c r="B47" s="3">
        <f>B43+(B45*1.5)+(B44*0.8)</f>
        <v>57.8</v>
      </c>
      <c r="C47" s="3">
        <f>C43+(C45*1.5)+(C44*0.8)</f>
        <v>59.8</v>
      </c>
      <c r="D47" s="3">
        <f>D43+(D45*1.5)+(D44*0.8)</f>
        <v>60.8</v>
      </c>
      <c r="E47" s="3">
        <f>E43+(E45*1.5)+(E44*0.8)</f>
        <v>60.8</v>
      </c>
      <c r="F47" s="3">
        <f>F43+(F45*1.5)+(F44*0.8)</f>
        <v>60.8</v>
      </c>
      <c r="G47" s="3">
        <f t="shared" ref="G47:M47" si="3">G43+(G45*1.5)+(G44*0.8)</f>
        <v>60.8</v>
      </c>
      <c r="H47" s="3">
        <f t="shared" si="3"/>
        <v>61.8</v>
      </c>
      <c r="I47" s="3">
        <f t="shared" si="3"/>
        <v>61.8</v>
      </c>
      <c r="J47" s="3">
        <f t="shared" si="3"/>
        <v>62</v>
      </c>
      <c r="K47" s="3">
        <f t="shared" si="3"/>
        <v>63.8</v>
      </c>
      <c r="L47" s="3">
        <f t="shared" si="3"/>
        <v>64.8</v>
      </c>
      <c r="M47" s="3">
        <f t="shared" si="3"/>
        <v>66.8</v>
      </c>
      <c r="N47" s="9">
        <f>SUM(B47:M47)/12</f>
        <v>61.816666666666663</v>
      </c>
    </row>
    <row r="48" spans="1:19" s="1" customFormat="1" x14ac:dyDescent="0.25">
      <c r="A48" s="13" t="s">
        <v>19</v>
      </c>
      <c r="B48" s="14">
        <v>2</v>
      </c>
      <c r="C48" s="15">
        <v>2</v>
      </c>
      <c r="D48" s="15">
        <v>1</v>
      </c>
      <c r="E48" s="15">
        <v>0</v>
      </c>
      <c r="F48" s="15">
        <v>0</v>
      </c>
      <c r="G48" s="15">
        <v>0</v>
      </c>
      <c r="H48" s="15">
        <v>1</v>
      </c>
      <c r="I48" s="15">
        <v>0</v>
      </c>
      <c r="J48" s="15">
        <v>1</v>
      </c>
      <c r="K48" s="15">
        <v>1</v>
      </c>
      <c r="L48" s="15">
        <v>1</v>
      </c>
      <c r="M48" s="15">
        <v>2</v>
      </c>
      <c r="N48" s="16">
        <f>SUM(B48:M48)</f>
        <v>11</v>
      </c>
      <c r="O48" s="15"/>
    </row>
    <row r="49" spans="1:15" x14ac:dyDescent="0.25">
      <c r="B49" s="43" t="s">
        <v>21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5" x14ac:dyDescent="0.25">
      <c r="B50" s="43" t="s">
        <v>57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2" spans="1:15" x14ac:dyDescent="0.25">
      <c r="A52" s="189" t="s">
        <v>126</v>
      </c>
      <c r="B52" s="189"/>
      <c r="C52" s="189"/>
      <c r="D52" s="189"/>
    </row>
    <row r="53" spans="1:15" s="1" customFormat="1" x14ac:dyDescent="0.25">
      <c r="A53" s="2"/>
      <c r="B53" s="3" t="s">
        <v>2</v>
      </c>
      <c r="C53" s="3" t="s">
        <v>3</v>
      </c>
      <c r="D53" s="3" t="s">
        <v>4</v>
      </c>
      <c r="E53" s="3" t="s">
        <v>5</v>
      </c>
      <c r="F53" s="3" t="s">
        <v>6</v>
      </c>
      <c r="G53" s="3" t="s">
        <v>7</v>
      </c>
      <c r="H53" s="3" t="s">
        <v>8</v>
      </c>
      <c r="I53" s="3" t="s">
        <v>9</v>
      </c>
      <c r="J53" s="3" t="s">
        <v>10</v>
      </c>
      <c r="K53" s="3" t="s">
        <v>11</v>
      </c>
      <c r="L53" s="3" t="s">
        <v>12</v>
      </c>
      <c r="M53" s="3" t="s">
        <v>13</v>
      </c>
      <c r="N53" s="4" t="s">
        <v>14</v>
      </c>
    </row>
    <row r="54" spans="1:15" s="1" customForma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5" s="1" customFormat="1" x14ac:dyDescent="0.25">
      <c r="A55" s="4" t="s">
        <v>15</v>
      </c>
      <c r="B55" s="5">
        <f>72-19+2</f>
        <v>55</v>
      </c>
      <c r="C55" s="3">
        <v>57</v>
      </c>
      <c r="D55" s="3">
        <v>58</v>
      </c>
      <c r="E55" s="3">
        <v>58</v>
      </c>
      <c r="F55" s="3">
        <v>58</v>
      </c>
      <c r="G55" s="6">
        <v>58</v>
      </c>
      <c r="H55" s="3">
        <v>59</v>
      </c>
      <c r="I55" s="3">
        <v>59</v>
      </c>
      <c r="J55" s="3">
        <v>60</v>
      </c>
      <c r="K55" s="3">
        <v>61</v>
      </c>
      <c r="L55" s="3">
        <v>62</v>
      </c>
      <c r="M55" s="3">
        <v>63</v>
      </c>
      <c r="N55" s="7">
        <f>SUM(B55:M55)/12</f>
        <v>59</v>
      </c>
    </row>
    <row r="56" spans="1:15" s="1" customFormat="1" x14ac:dyDescent="0.25">
      <c r="A56" s="4" t="s">
        <v>16</v>
      </c>
      <c r="B56" s="8">
        <f>4-2</f>
        <v>2</v>
      </c>
      <c r="C56" s="8">
        <f t="shared" ref="C56:M56" si="4">4-2</f>
        <v>2</v>
      </c>
      <c r="D56" s="8">
        <f t="shared" si="4"/>
        <v>2</v>
      </c>
      <c r="E56" s="8">
        <f t="shared" si="4"/>
        <v>2</v>
      </c>
      <c r="F56" s="8">
        <f t="shared" si="4"/>
        <v>2</v>
      </c>
      <c r="G56" s="8">
        <f t="shared" si="4"/>
        <v>2</v>
      </c>
      <c r="H56" s="8">
        <f t="shared" si="4"/>
        <v>2</v>
      </c>
      <c r="I56" s="8">
        <f t="shared" si="4"/>
        <v>2</v>
      </c>
      <c r="J56" s="8">
        <f t="shared" si="4"/>
        <v>2</v>
      </c>
      <c r="K56" s="8">
        <f t="shared" si="4"/>
        <v>2</v>
      </c>
      <c r="L56" s="8">
        <f t="shared" si="4"/>
        <v>2</v>
      </c>
      <c r="M56" s="8">
        <f t="shared" si="4"/>
        <v>2</v>
      </c>
      <c r="N56" s="9">
        <f>SUM(B56:M56)/12</f>
        <v>2</v>
      </c>
    </row>
    <row r="57" spans="1:15" s="1" customFormat="1" x14ac:dyDescent="0.25">
      <c r="A57" s="4" t="s">
        <v>17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9">
        <f>SUM(B57:M57)/12</f>
        <v>0</v>
      </c>
    </row>
    <row r="58" spans="1:15" s="1" customFormat="1" x14ac:dyDescent="0.25">
      <c r="A58" s="4"/>
      <c r="B58" s="10"/>
      <c r="C58" s="10"/>
      <c r="D58" s="10"/>
      <c r="E58" s="10"/>
      <c r="F58" s="10"/>
      <c r="G58" s="10"/>
      <c r="H58" s="8"/>
      <c r="I58" s="10"/>
      <c r="J58" s="10"/>
      <c r="K58" s="10"/>
      <c r="L58" s="10"/>
      <c r="M58" s="10"/>
      <c r="N58" s="11"/>
      <c r="O58" s="12"/>
    </row>
    <row r="59" spans="1:15" s="1" customFormat="1" x14ac:dyDescent="0.25">
      <c r="A59" s="2" t="s">
        <v>51</v>
      </c>
      <c r="B59" s="3">
        <f>B55+(B57*1.5)+(B56*0.8)</f>
        <v>56.6</v>
      </c>
      <c r="C59" s="3">
        <f>C55+(C57*1.5)+(C56*0.8)</f>
        <v>58.6</v>
      </c>
      <c r="D59" s="3">
        <f>D55+(D57*1.5)+(D56*0.8)</f>
        <v>59.6</v>
      </c>
      <c r="E59" s="3">
        <f>E55+(E57*1.5)+(E56*0.8)</f>
        <v>59.6</v>
      </c>
      <c r="F59" s="3">
        <f>F55+(F57*1.5)+(F56*0.8)</f>
        <v>59.6</v>
      </c>
      <c r="G59" s="3">
        <f t="shared" ref="G59:M59" si="5">G55+(G57*1.5)+(G56*0.8)</f>
        <v>59.6</v>
      </c>
      <c r="H59" s="3">
        <f t="shared" si="5"/>
        <v>60.6</v>
      </c>
      <c r="I59" s="3">
        <f t="shared" si="5"/>
        <v>60.6</v>
      </c>
      <c r="J59" s="3">
        <f t="shared" si="5"/>
        <v>61.6</v>
      </c>
      <c r="K59" s="3">
        <f t="shared" si="5"/>
        <v>62.6</v>
      </c>
      <c r="L59" s="3">
        <f t="shared" si="5"/>
        <v>63.6</v>
      </c>
      <c r="M59" s="3">
        <f t="shared" si="5"/>
        <v>64.599999999999994</v>
      </c>
      <c r="N59" s="9">
        <f>SUM(B59:M59)/12</f>
        <v>60.600000000000016</v>
      </c>
    </row>
    <row r="60" spans="1:15" s="1" customFormat="1" x14ac:dyDescent="0.25">
      <c r="A60" s="13" t="s">
        <v>19</v>
      </c>
      <c r="B60" s="14">
        <v>2</v>
      </c>
      <c r="C60" s="15">
        <v>2</v>
      </c>
      <c r="D60" s="15">
        <v>1</v>
      </c>
      <c r="E60" s="15">
        <v>0</v>
      </c>
      <c r="F60" s="15">
        <v>0</v>
      </c>
      <c r="G60" s="15">
        <v>0</v>
      </c>
      <c r="H60" s="15">
        <v>1</v>
      </c>
      <c r="I60" s="15">
        <v>0</v>
      </c>
      <c r="J60" s="15">
        <v>1</v>
      </c>
      <c r="K60" s="15">
        <v>1</v>
      </c>
      <c r="L60" s="15">
        <v>1</v>
      </c>
      <c r="M60" s="15">
        <v>1</v>
      </c>
      <c r="N60" s="16">
        <f>SUM(B60:M60)</f>
        <v>10</v>
      </c>
      <c r="O60" s="15"/>
    </row>
    <row r="61" spans="1:15" x14ac:dyDescent="0.25">
      <c r="B61" s="43" t="s">
        <v>52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1:15" x14ac:dyDescent="0.25">
      <c r="B62" s="43" t="s">
        <v>94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4" spans="1:15" x14ac:dyDescent="0.25">
      <c r="A64" s="35" t="s">
        <v>39</v>
      </c>
      <c r="B64" s="72"/>
      <c r="C64" s="72"/>
      <c r="D64" s="7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 spans="1:15" x14ac:dyDescent="0.25">
      <c r="A65" s="69"/>
      <c r="B65" s="70" t="s">
        <v>2</v>
      </c>
      <c r="C65" s="70" t="s">
        <v>3</v>
      </c>
      <c r="D65" s="70" t="s">
        <v>4</v>
      </c>
      <c r="E65" s="70" t="s">
        <v>5</v>
      </c>
      <c r="F65" s="70" t="s">
        <v>6</v>
      </c>
      <c r="G65" s="70" t="s">
        <v>7</v>
      </c>
      <c r="H65" s="70" t="s">
        <v>8</v>
      </c>
      <c r="I65" s="70" t="s">
        <v>9</v>
      </c>
      <c r="J65" s="70" t="s">
        <v>10</v>
      </c>
      <c r="K65" s="70" t="s">
        <v>11</v>
      </c>
      <c r="L65" s="70" t="s">
        <v>12</v>
      </c>
      <c r="M65" s="70" t="s">
        <v>13</v>
      </c>
      <c r="N65" s="71" t="s">
        <v>14</v>
      </c>
      <c r="O65" s="62"/>
    </row>
    <row r="66" spans="1:15" x14ac:dyDescent="0.2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62"/>
    </row>
    <row r="67" spans="1:15" x14ac:dyDescent="0.25">
      <c r="A67" s="71" t="s">
        <v>15</v>
      </c>
      <c r="B67" s="28">
        <v>53</v>
      </c>
      <c r="C67" s="54">
        <v>59</v>
      </c>
      <c r="D67" s="54">
        <v>59</v>
      </c>
      <c r="E67" s="54">
        <v>63</v>
      </c>
      <c r="F67" s="54">
        <v>64</v>
      </c>
      <c r="G67" s="215">
        <v>64</v>
      </c>
      <c r="H67" s="54">
        <f>64+1</f>
        <v>65</v>
      </c>
      <c r="I67" s="54">
        <f>65+2+2-2</f>
        <v>67</v>
      </c>
      <c r="J67" s="54">
        <f>67+2</f>
        <v>69</v>
      </c>
      <c r="K67" s="54">
        <f>69+2</f>
        <v>71</v>
      </c>
      <c r="L67" s="37">
        <v>71</v>
      </c>
      <c r="M67" s="3">
        <f>71+2-1</f>
        <v>72</v>
      </c>
      <c r="N67" s="7">
        <f>SUM(B67:M67)/12</f>
        <v>64.75</v>
      </c>
      <c r="O67" s="62"/>
    </row>
    <row r="68" spans="1:15" x14ac:dyDescent="0.25">
      <c r="A68" s="71" t="s">
        <v>16</v>
      </c>
      <c r="B68" s="29">
        <v>3</v>
      </c>
      <c r="C68" s="29">
        <v>3</v>
      </c>
      <c r="D68" s="29">
        <v>3</v>
      </c>
      <c r="E68" s="29">
        <v>4</v>
      </c>
      <c r="F68" s="29">
        <v>4</v>
      </c>
      <c r="G68" s="29">
        <v>4</v>
      </c>
      <c r="H68" s="29">
        <v>4</v>
      </c>
      <c r="I68" s="29">
        <v>2</v>
      </c>
      <c r="J68" s="29">
        <v>2</v>
      </c>
      <c r="K68" s="29">
        <v>2</v>
      </c>
      <c r="L68" s="39">
        <v>2</v>
      </c>
      <c r="M68" s="8">
        <v>2</v>
      </c>
      <c r="N68" s="9">
        <f>SUM(B68:M68)/12</f>
        <v>2.9166666666666665</v>
      </c>
      <c r="O68" s="62"/>
    </row>
    <row r="69" spans="1:15" x14ac:dyDescent="0.25">
      <c r="A69" s="71" t="s">
        <v>17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40"/>
      <c r="M69" s="10"/>
      <c r="N69" s="9">
        <f>SUM(B69:M69)/12</f>
        <v>0</v>
      </c>
      <c r="O69" s="62"/>
    </row>
    <row r="70" spans="1:15" x14ac:dyDescent="0.25">
      <c r="A70" s="71"/>
      <c r="B70" s="10"/>
      <c r="C70" s="10"/>
      <c r="D70" s="10"/>
      <c r="E70" s="10"/>
      <c r="F70" s="10"/>
      <c r="G70" s="10"/>
      <c r="H70" s="8"/>
      <c r="I70" s="10"/>
      <c r="J70" s="10"/>
      <c r="K70" s="10"/>
      <c r="L70" s="10"/>
      <c r="M70" s="10"/>
      <c r="N70" s="11"/>
      <c r="O70" s="63"/>
    </row>
    <row r="71" spans="1:15" x14ac:dyDescent="0.25">
      <c r="A71" s="69" t="s">
        <v>18</v>
      </c>
      <c r="B71" s="3">
        <f>B67+(B69*1.5)+(B68*0.8)</f>
        <v>55.4</v>
      </c>
      <c r="C71" s="3">
        <f>C67+(C69*1.5)+(C68*0.8)</f>
        <v>61.4</v>
      </c>
      <c r="D71" s="3">
        <f>D67+(D69*1.5)+(D68*0.8)</f>
        <v>61.4</v>
      </c>
      <c r="E71" s="3">
        <f>E67+(E69*1.5)+(E68*0.8)</f>
        <v>66.2</v>
      </c>
      <c r="F71" s="3">
        <f>F67+(F69*1.5)+(F68*0.8)</f>
        <v>67.2</v>
      </c>
      <c r="G71" s="3">
        <f t="shared" ref="G71:M71" si="6">G67+(G69*1.5)+(G68*0.8)</f>
        <v>67.2</v>
      </c>
      <c r="H71" s="3">
        <f t="shared" si="6"/>
        <v>68.2</v>
      </c>
      <c r="I71" s="3">
        <f t="shared" si="6"/>
        <v>68.599999999999994</v>
      </c>
      <c r="J71" s="3">
        <f t="shared" si="6"/>
        <v>70.599999999999994</v>
      </c>
      <c r="K71" s="3">
        <f t="shared" si="6"/>
        <v>72.599999999999994</v>
      </c>
      <c r="L71" s="3">
        <f t="shared" si="6"/>
        <v>72.599999999999994</v>
      </c>
      <c r="M71" s="3">
        <f t="shared" si="6"/>
        <v>73.599999999999994</v>
      </c>
      <c r="N71" s="9">
        <f>SUM(B71:M71)/12</f>
        <v>67.083333333333329</v>
      </c>
      <c r="O71" s="62"/>
    </row>
    <row r="72" spans="1:15" x14ac:dyDescent="0.25">
      <c r="A72" s="67" t="s">
        <v>19</v>
      </c>
      <c r="B72" s="65">
        <v>2</v>
      </c>
      <c r="C72" s="64">
        <v>6</v>
      </c>
      <c r="D72" s="64">
        <v>0</v>
      </c>
      <c r="E72" s="64">
        <v>5</v>
      </c>
      <c r="F72" s="64">
        <v>1</v>
      </c>
      <c r="G72" s="64">
        <v>0</v>
      </c>
      <c r="H72" s="64">
        <v>1</v>
      </c>
      <c r="I72" s="64">
        <v>2</v>
      </c>
      <c r="J72" s="64">
        <v>2</v>
      </c>
      <c r="K72" s="64">
        <v>2</v>
      </c>
      <c r="L72" s="64">
        <v>0</v>
      </c>
      <c r="M72" s="64">
        <v>2</v>
      </c>
      <c r="N72" s="68">
        <f>SUM(B72:M72)</f>
        <v>23</v>
      </c>
      <c r="O72" s="62"/>
    </row>
    <row r="73" spans="1:15" x14ac:dyDescent="0.25">
      <c r="H73" s="43" t="s">
        <v>221</v>
      </c>
      <c r="I73" s="50" t="s">
        <v>211</v>
      </c>
      <c r="M73" s="43" t="s">
        <v>279</v>
      </c>
    </row>
    <row r="74" spans="1:15" x14ac:dyDescent="0.25">
      <c r="I74" s="50" t="s">
        <v>210</v>
      </c>
    </row>
  </sheetData>
  <pageMargins left="0" right="0" top="0.15748031496062992" bottom="0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2015-04-14T11:00:00+00:00</MeetingStartDate>
    <EnclosureFileNumber xmlns="d08b57ff-b9b7-4581-975d-98f87b579a51">115281/13</EnclosureFileNumber>
    <AgendaId xmlns="d08b57ff-b9b7-4581-975d-98f87b579a51">3758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1365399</FusionId>
    <AgendaAccessLevelName xmlns="d08b57ff-b9b7-4581-975d-98f87b579a51">Åben</AgendaAccessLevelName>
    <UNC xmlns="d08b57ff-b9b7-4581-975d-98f87b579a51">1204073</UNC>
    <MeetingTitle xmlns="d08b57ff-b9b7-4581-975d-98f87b579a51">14-04-2015</MeetingTitle>
    <MeetingDateAndTime xmlns="d08b57ff-b9b7-4581-975d-98f87b579a51">14-04-2015 fra 13:00 - 16:05</MeetingDateAndTime>
    <MeetingEndDate xmlns="d08b57ff-b9b7-4581-975d-98f87b579a51">2015-04-14T14:05:00+00:00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7045C3E9-C698-40F9-A493-74A6391B3D3E}"/>
</file>

<file path=customXml/itemProps2.xml><?xml version="1.0" encoding="utf-8"?>
<ds:datastoreItem xmlns:ds="http://schemas.openxmlformats.org/officeDocument/2006/customXml" ds:itemID="{6A0794F1-5DBC-4F6B-BB66-213ECC6A50E0}"/>
</file>

<file path=customXml/itemProps3.xml><?xml version="1.0" encoding="utf-8"?>
<ds:datastoreItem xmlns:ds="http://schemas.openxmlformats.org/officeDocument/2006/customXml" ds:itemID="{58EAA44C-565E-47EA-8F95-99F1AFAA0E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26</vt:i4>
      </vt:variant>
    </vt:vector>
  </HeadingPairs>
  <TitlesOfParts>
    <vt:vector size="26" baseType="lpstr">
      <vt:lpstr>Skovmusen</vt:lpstr>
      <vt:lpstr>Oksbøl bhv</vt:lpstr>
      <vt:lpstr>Billum</vt:lpstr>
      <vt:lpstr>Outrup</vt:lpstr>
      <vt:lpstr>Nr. Nebel</vt:lpstr>
      <vt:lpstr>Lunde</vt:lpstr>
      <vt:lpstr>Møllehuset</vt:lpstr>
      <vt:lpstr>Horne</vt:lpstr>
      <vt:lpstr>Ansager</vt:lpstr>
      <vt:lpstr>Starup</vt:lpstr>
      <vt:lpstr>Agerbæk</vt:lpstr>
      <vt:lpstr>Årre</vt:lpstr>
      <vt:lpstr>Ølgod</vt:lpstr>
      <vt:lpstr>Svalereden</vt:lpstr>
      <vt:lpstr>Børnehave før tid 2013</vt:lpstr>
      <vt:lpstr>OKSBØL BY</vt:lpstr>
      <vt:lpstr>Billum 230315</vt:lpstr>
      <vt:lpstr>Oksbøl bhv 280514</vt:lpstr>
      <vt:lpstr>Ansager 130614</vt:lpstr>
      <vt:lpstr>LUNDE KVONG bhv 090415</vt:lpstr>
      <vt:lpstr>Oksøbl bhv</vt:lpstr>
      <vt:lpstr>Horne bhv 160915</vt:lpstr>
      <vt:lpstr>Horne bhv 121114</vt:lpstr>
      <vt:lpstr>Ølgod bhv 121114</vt:lpstr>
      <vt:lpstr>Billum bhv 08.01.15</vt:lpstr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UBU-14-04-2015 - Bilag 230.02 Prognoser bhv 20142015</dc:title>
  <dc:creator>Dorthe Vogt Houmøller</dc:creator>
  <cp:lastModifiedBy>Dorthe Vogt Houmøller</cp:lastModifiedBy>
  <cp:lastPrinted>2015-01-20T09:55:03Z</cp:lastPrinted>
  <dcterms:created xsi:type="dcterms:W3CDTF">2013-08-12T09:41:03Z</dcterms:created>
  <dcterms:modified xsi:type="dcterms:W3CDTF">2015-04-10T11:09:08Z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